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ergeitsistjakov/Assertum Audit OÜ Dropbox/AUDITI TÖÖPABERID/"/>
    </mc:Choice>
  </mc:AlternateContent>
  <xr:revisionPtr revIDLastSave="0" documentId="13_ncr:1_{D7128422-A18E-B64C-97B3-AFD2E135BF34}" xr6:coauthVersionLast="47" xr6:coauthVersionMax="47" xr10:uidLastSave="{00000000-0000-0000-0000-000000000000}"/>
  <bookViews>
    <workbookView xWindow="-51200" yWindow="500" windowWidth="51200" windowHeight="28300" xr2:uid="{00000000-000D-0000-FFFF-FFFF00000000}"/>
  </bookViews>
  <sheets>
    <sheet name="Juhend-Руководство-Instructions" sheetId="1" r:id="rId1"/>
    <sheet name="1" sheetId="2" r:id="rId2"/>
    <sheet name="2.1" sheetId="3" r:id="rId3"/>
    <sheet name="2.2" sheetId="4" r:id="rId4"/>
    <sheet name="2.3" sheetId="5" r:id="rId5"/>
    <sheet name="2.4" sheetId="6" r:id="rId6"/>
    <sheet name="3" sheetId="7" r:id="rId7"/>
    <sheet name="4" sheetId="8" r:id="rId8"/>
    <sheet name="5" sheetId="9" r:id="rId9"/>
    <sheet name="KEEL" sheetId="10" state="hidden" r:id="rId10"/>
    <sheet name="data" sheetId="11" state="hidden" r:id="rId11"/>
    <sheet name="var" sheetId="12" r:id="rId12"/>
  </sheets>
  <definedNames>
    <definedName name="Language">'Juhend-Руководство-Instructions'!$D$1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9" i="9" l="1"/>
  <c r="D129" i="9"/>
  <c r="H17" i="8"/>
  <c r="D17" i="8"/>
  <c r="H17" i="7"/>
  <c r="D17" i="7"/>
  <c r="I6" i="4"/>
  <c r="E6" i="4"/>
  <c r="B1" i="9"/>
  <c r="A1" i="9"/>
  <c r="B2" i="8"/>
  <c r="A2" i="8"/>
  <c r="B2" i="7"/>
  <c r="A2" i="7"/>
  <c r="C2" i="6"/>
  <c r="B2" i="6"/>
  <c r="C2" i="5"/>
  <c r="B2" i="5"/>
  <c r="C2" i="4"/>
  <c r="B2" i="4"/>
  <c r="C2" i="3"/>
  <c r="B2" i="3"/>
  <c r="B10" i="2"/>
  <c r="B9" i="2"/>
  <c r="E3" i="1"/>
  <c r="C3" i="1"/>
  <c r="D3" i="1"/>
  <c r="B3" i="1"/>
  <c r="A9" i="11"/>
  <c r="A124" i="9" s="1"/>
  <c r="A8" i="11"/>
  <c r="A123" i="9" s="1"/>
  <c r="A7" i="11"/>
  <c r="A135" i="9" s="1"/>
  <c r="A6" i="11"/>
  <c r="A37" i="9" s="1"/>
  <c r="A5" i="11"/>
  <c r="A23" i="9" s="1"/>
  <c r="A4" i="11"/>
  <c r="A47" i="9" s="1"/>
  <c r="A3" i="11"/>
  <c r="A34" i="9" s="1"/>
  <c r="A2" i="11"/>
  <c r="A130" i="9" s="1"/>
  <c r="A113" i="9"/>
  <c r="A112" i="9"/>
  <c r="C107" i="9"/>
  <c r="B107" i="9"/>
  <c r="C106" i="9"/>
  <c r="B106" i="9"/>
  <c r="C105" i="9"/>
  <c r="B105" i="9"/>
  <c r="C104" i="9"/>
  <c r="B104" i="9"/>
  <c r="C103" i="9"/>
  <c r="B103" i="9"/>
  <c r="C102" i="9"/>
  <c r="B102" i="9"/>
  <c r="C101" i="9"/>
  <c r="B101" i="9"/>
  <c r="C100" i="9"/>
  <c r="B100" i="9"/>
  <c r="B108" i="9" s="1"/>
  <c r="G95" i="9"/>
  <c r="F95" i="9"/>
  <c r="E95" i="9"/>
  <c r="D95" i="9"/>
  <c r="C95" i="9"/>
  <c r="B95" i="9"/>
  <c r="G94" i="9"/>
  <c r="F94" i="9"/>
  <c r="E94" i="9"/>
  <c r="D94" i="9"/>
  <c r="C94" i="9"/>
  <c r="B94" i="9"/>
  <c r="G93" i="9"/>
  <c r="G96" i="9" s="1"/>
  <c r="F93" i="9"/>
  <c r="E93" i="9"/>
  <c r="D93" i="9"/>
  <c r="D96" i="9" s="1"/>
  <c r="C93" i="9"/>
  <c r="B93" i="9"/>
  <c r="G92" i="9"/>
  <c r="F92" i="9"/>
  <c r="E92" i="9"/>
  <c r="D92" i="9"/>
  <c r="C92" i="9"/>
  <c r="B92" i="9"/>
  <c r="G91" i="9"/>
  <c r="F91" i="9"/>
  <c r="E91" i="9"/>
  <c r="D91" i="9"/>
  <c r="C91" i="9"/>
  <c r="B91" i="9"/>
  <c r="G90" i="9"/>
  <c r="F90" i="9"/>
  <c r="E90" i="9"/>
  <c r="E96" i="9" s="1"/>
  <c r="D90" i="9"/>
  <c r="C90" i="9"/>
  <c r="B90" i="9"/>
  <c r="G89" i="9"/>
  <c r="F89" i="9"/>
  <c r="E89" i="9"/>
  <c r="D89" i="9"/>
  <c r="C89" i="9"/>
  <c r="B89" i="9"/>
  <c r="G88" i="9"/>
  <c r="F88" i="9"/>
  <c r="E88" i="9"/>
  <c r="D88" i="9"/>
  <c r="C88" i="9"/>
  <c r="B88" i="9"/>
  <c r="B96" i="9" s="1"/>
  <c r="H83" i="9"/>
  <c r="I82" i="9"/>
  <c r="H82" i="9"/>
  <c r="G82" i="9"/>
  <c r="F82" i="9"/>
  <c r="E82" i="9"/>
  <c r="D82" i="9"/>
  <c r="C82" i="9"/>
  <c r="B82" i="9"/>
  <c r="I81" i="9"/>
  <c r="H81" i="9"/>
  <c r="G81" i="9"/>
  <c r="F81" i="9"/>
  <c r="E81" i="9"/>
  <c r="D81" i="9"/>
  <c r="C81" i="9"/>
  <c r="B81" i="9"/>
  <c r="I80" i="9"/>
  <c r="H80" i="9"/>
  <c r="G80" i="9"/>
  <c r="F80" i="9"/>
  <c r="E80" i="9"/>
  <c r="D80" i="9"/>
  <c r="C80" i="9"/>
  <c r="B80" i="9"/>
  <c r="I79" i="9"/>
  <c r="H79" i="9"/>
  <c r="G79" i="9"/>
  <c r="F79" i="9"/>
  <c r="E79" i="9"/>
  <c r="D79" i="9"/>
  <c r="C79" i="9"/>
  <c r="B79" i="9"/>
  <c r="I78" i="9"/>
  <c r="H78" i="9"/>
  <c r="G78" i="9"/>
  <c r="F78" i="9"/>
  <c r="E78" i="9"/>
  <c r="D78" i="9"/>
  <c r="C78" i="9"/>
  <c r="B78" i="9"/>
  <c r="I77" i="9"/>
  <c r="H77" i="9"/>
  <c r="G77" i="9"/>
  <c r="F77" i="9"/>
  <c r="E77" i="9"/>
  <c r="D77" i="9"/>
  <c r="C77" i="9"/>
  <c r="B77" i="9"/>
  <c r="B83" i="9" s="1"/>
  <c r="I76" i="9"/>
  <c r="H76" i="9"/>
  <c r="G76" i="9"/>
  <c r="F76" i="9"/>
  <c r="E76" i="9"/>
  <c r="D76" i="9"/>
  <c r="C76" i="9"/>
  <c r="B76" i="9"/>
  <c r="I75" i="9"/>
  <c r="I83" i="9" s="1"/>
  <c r="H75" i="9"/>
  <c r="G75" i="9"/>
  <c r="F75" i="9"/>
  <c r="E75" i="9"/>
  <c r="E83" i="9" s="1"/>
  <c r="D75" i="9"/>
  <c r="D83" i="9" s="1"/>
  <c r="C75" i="9"/>
  <c r="C83" i="9" s="1"/>
  <c r="B75" i="9"/>
  <c r="H74" i="9"/>
  <c r="D74" i="9"/>
  <c r="G69" i="9"/>
  <c r="F69" i="9"/>
  <c r="E69" i="9"/>
  <c r="D69" i="9"/>
  <c r="C69" i="9"/>
  <c r="B69" i="9"/>
  <c r="G68" i="9"/>
  <c r="F68" i="9"/>
  <c r="E68" i="9"/>
  <c r="D68" i="9"/>
  <c r="C68" i="9"/>
  <c r="B68" i="9"/>
  <c r="G67" i="9"/>
  <c r="F67" i="9"/>
  <c r="E67" i="9"/>
  <c r="D67" i="9"/>
  <c r="C67" i="9"/>
  <c r="B67" i="9"/>
  <c r="G66" i="9"/>
  <c r="F66" i="9"/>
  <c r="E66" i="9"/>
  <c r="D66" i="9"/>
  <c r="C66" i="9"/>
  <c r="B66" i="9"/>
  <c r="G65" i="9"/>
  <c r="F65" i="9"/>
  <c r="E65" i="9"/>
  <c r="D65" i="9"/>
  <c r="C65" i="9"/>
  <c r="B65" i="9"/>
  <c r="B70" i="9" s="1"/>
  <c r="G64" i="9"/>
  <c r="F64" i="9"/>
  <c r="E64" i="9"/>
  <c r="D64" i="9"/>
  <c r="C64" i="9"/>
  <c r="B64" i="9"/>
  <c r="G63" i="9"/>
  <c r="F63" i="9"/>
  <c r="E63" i="9"/>
  <c r="D63" i="9"/>
  <c r="C63" i="9"/>
  <c r="B63" i="9"/>
  <c r="G62" i="9"/>
  <c r="F62" i="9"/>
  <c r="E62" i="9"/>
  <c r="E70" i="9" s="1"/>
  <c r="D62" i="9"/>
  <c r="D70" i="9" s="1"/>
  <c r="C62" i="9"/>
  <c r="C70" i="9" s="1"/>
  <c r="B62" i="9"/>
  <c r="H19" i="9"/>
  <c r="D19" i="9"/>
  <c r="G39" i="8"/>
  <c r="F39" i="8"/>
  <c r="E39" i="8"/>
  <c r="D39" i="8"/>
  <c r="C39" i="8"/>
  <c r="B39" i="8"/>
  <c r="I26" i="8"/>
  <c r="G26" i="8"/>
  <c r="F26" i="8"/>
  <c r="E26" i="8"/>
  <c r="C26" i="8"/>
  <c r="B26" i="8"/>
  <c r="G13" i="8"/>
  <c r="F13" i="8"/>
  <c r="E13" i="8"/>
  <c r="D13" i="8"/>
  <c r="C13" i="8"/>
  <c r="B13" i="8"/>
  <c r="A9" i="8"/>
  <c r="A22" i="8" s="1"/>
  <c r="A35" i="8" s="1"/>
  <c r="A47" i="8" s="1"/>
  <c r="A8" i="8"/>
  <c r="A21" i="8" s="1"/>
  <c r="A34" i="8" s="1"/>
  <c r="A46" i="8" s="1"/>
  <c r="A1" i="8"/>
  <c r="A47" i="7"/>
  <c r="C47" i="7" s="1"/>
  <c r="C49" i="9" s="1"/>
  <c r="A23" i="7"/>
  <c r="F23" i="7" s="1"/>
  <c r="F25" i="9" s="1"/>
  <c r="F135" i="9" s="1"/>
  <c r="A10" i="7"/>
  <c r="G10" i="7" s="1"/>
  <c r="G12" i="9" s="1"/>
  <c r="G122" i="9" s="1"/>
  <c r="A1" i="7"/>
  <c r="D47" i="6"/>
  <c r="C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D6" i="6"/>
  <c r="C42" i="8" s="1"/>
  <c r="C6" i="6"/>
  <c r="B42" i="7" s="1"/>
  <c r="C1" i="6"/>
  <c r="B1" i="6"/>
  <c r="C18" i="1" s="1"/>
  <c r="H47" i="5"/>
  <c r="G47" i="5"/>
  <c r="F47" i="5"/>
  <c r="E47" i="5"/>
  <c r="D47" i="5"/>
  <c r="C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E6" i="5"/>
  <c r="D142" i="9" s="1"/>
  <c r="D6" i="5"/>
  <c r="C142" i="9" s="1"/>
  <c r="F142" i="9" s="1"/>
  <c r="G142" i="9" s="1"/>
  <c r="C6" i="5"/>
  <c r="B142" i="9" s="1"/>
  <c r="E142" i="9" s="1"/>
  <c r="F5" i="5"/>
  <c r="E141" i="9" s="1"/>
  <c r="C5" i="5"/>
  <c r="B141" i="9" s="1"/>
  <c r="B1" i="5"/>
  <c r="C17" i="1" s="1"/>
  <c r="J47" i="4"/>
  <c r="H47" i="4"/>
  <c r="G47" i="4"/>
  <c r="F47" i="4"/>
  <c r="D47" i="4"/>
  <c r="C47" i="4"/>
  <c r="I46" i="4"/>
  <c r="E46" i="4"/>
  <c r="B46" i="4"/>
  <c r="A46" i="4"/>
  <c r="I45" i="4"/>
  <c r="E45" i="4"/>
  <c r="B45" i="4"/>
  <c r="A45" i="4"/>
  <c r="I44" i="4"/>
  <c r="E44" i="4"/>
  <c r="B44" i="4"/>
  <c r="A44" i="4"/>
  <c r="I43" i="4"/>
  <c r="E43" i="4"/>
  <c r="B43" i="4"/>
  <c r="A43" i="4"/>
  <c r="I42" i="4"/>
  <c r="E42" i="4"/>
  <c r="B42" i="4"/>
  <c r="A42" i="4"/>
  <c r="I41" i="4"/>
  <c r="E41" i="4"/>
  <c r="B41" i="4"/>
  <c r="A41" i="4"/>
  <c r="I40" i="4"/>
  <c r="E40" i="4"/>
  <c r="B40" i="4"/>
  <c r="A40" i="4"/>
  <c r="I39" i="4"/>
  <c r="E39" i="4"/>
  <c r="B39" i="4"/>
  <c r="A39" i="4"/>
  <c r="I38" i="4"/>
  <c r="E38" i="4"/>
  <c r="B38" i="4"/>
  <c r="A38" i="4"/>
  <c r="I37" i="4"/>
  <c r="E37" i="4"/>
  <c r="B37" i="4"/>
  <c r="A37" i="4"/>
  <c r="I36" i="4"/>
  <c r="E36" i="4"/>
  <c r="B36" i="4"/>
  <c r="A36" i="4"/>
  <c r="I35" i="4"/>
  <c r="E35" i="4"/>
  <c r="B35" i="4"/>
  <c r="A35" i="4"/>
  <c r="I34" i="4"/>
  <c r="E34" i="4"/>
  <c r="B34" i="4"/>
  <c r="A34" i="4"/>
  <c r="I33" i="4"/>
  <c r="E33" i="4"/>
  <c r="B33" i="4"/>
  <c r="A33" i="4"/>
  <c r="I32" i="4"/>
  <c r="E32" i="4"/>
  <c r="B32" i="4"/>
  <c r="A32" i="4"/>
  <c r="I31" i="4"/>
  <c r="E31" i="4"/>
  <c r="B31" i="4"/>
  <c r="A31" i="4"/>
  <c r="I30" i="4"/>
  <c r="E30" i="4"/>
  <c r="B30" i="4"/>
  <c r="A30" i="4"/>
  <c r="I29" i="4"/>
  <c r="E29" i="4"/>
  <c r="B29" i="4"/>
  <c r="A29" i="4"/>
  <c r="I28" i="4"/>
  <c r="E28" i="4"/>
  <c r="B28" i="4"/>
  <c r="A28" i="4"/>
  <c r="I27" i="4"/>
  <c r="E27" i="4"/>
  <c r="B27" i="4"/>
  <c r="A27" i="4"/>
  <c r="I26" i="4"/>
  <c r="E26" i="4"/>
  <c r="B26" i="4"/>
  <c r="A26" i="4"/>
  <c r="I25" i="4"/>
  <c r="E25" i="4"/>
  <c r="B25" i="4"/>
  <c r="A25" i="4"/>
  <c r="I24" i="4"/>
  <c r="E24" i="4"/>
  <c r="B24" i="4"/>
  <c r="A24" i="4"/>
  <c r="I23" i="4"/>
  <c r="E23" i="4"/>
  <c r="B23" i="4"/>
  <c r="A23" i="4"/>
  <c r="I22" i="4"/>
  <c r="E22" i="4"/>
  <c r="B22" i="4"/>
  <c r="A22" i="4"/>
  <c r="I21" i="4"/>
  <c r="E21" i="4"/>
  <c r="B21" i="4"/>
  <c r="A21" i="4"/>
  <c r="I20" i="4"/>
  <c r="E20" i="4"/>
  <c r="B20" i="4"/>
  <c r="A20" i="4"/>
  <c r="I19" i="4"/>
  <c r="E19" i="4"/>
  <c r="B19" i="4"/>
  <c r="A19" i="4"/>
  <c r="I18" i="4"/>
  <c r="E18" i="4"/>
  <c r="B18" i="4"/>
  <c r="A18" i="4"/>
  <c r="I17" i="4"/>
  <c r="E17" i="4"/>
  <c r="B17" i="4"/>
  <c r="A17" i="4"/>
  <c r="I16" i="4"/>
  <c r="E16" i="4"/>
  <c r="B16" i="4"/>
  <c r="A16" i="4"/>
  <c r="I15" i="4"/>
  <c r="E15" i="4"/>
  <c r="B15" i="4"/>
  <c r="A15" i="4"/>
  <c r="I14" i="4"/>
  <c r="E14" i="4"/>
  <c r="B14" i="4"/>
  <c r="A14" i="4"/>
  <c r="I13" i="4"/>
  <c r="E13" i="4"/>
  <c r="B13" i="4"/>
  <c r="A13" i="4"/>
  <c r="I12" i="4"/>
  <c r="E12" i="4"/>
  <c r="B12" i="4"/>
  <c r="A12" i="4"/>
  <c r="I11" i="4"/>
  <c r="E11" i="4"/>
  <c r="B11" i="4"/>
  <c r="A11" i="4"/>
  <c r="I10" i="4"/>
  <c r="I47" i="4" s="1"/>
  <c r="E10" i="4"/>
  <c r="B10" i="4"/>
  <c r="A10" i="4"/>
  <c r="I9" i="4"/>
  <c r="E9" i="4"/>
  <c r="B9" i="4"/>
  <c r="A9" i="4"/>
  <c r="I8" i="4"/>
  <c r="E8" i="4"/>
  <c r="B8" i="4"/>
  <c r="A8" i="4"/>
  <c r="I7" i="4"/>
  <c r="E7" i="4"/>
  <c r="E47" i="4" s="1"/>
  <c r="B7" i="4"/>
  <c r="A7" i="4"/>
  <c r="H6" i="4"/>
  <c r="G17" i="8" s="1"/>
  <c r="G6" i="4"/>
  <c r="F17" i="8" s="1"/>
  <c r="F6" i="4"/>
  <c r="E17" i="8" s="1"/>
  <c r="D6" i="4"/>
  <c r="C129" i="9" s="1"/>
  <c r="C6" i="4"/>
  <c r="B129" i="9" s="1"/>
  <c r="G5" i="4"/>
  <c r="F16" i="8" s="1"/>
  <c r="C5" i="4"/>
  <c r="B16" i="7" s="1"/>
  <c r="B1" i="4"/>
  <c r="C16" i="1" s="1"/>
  <c r="N47" i="3"/>
  <c r="M47" i="3"/>
  <c r="L47" i="3"/>
  <c r="K47" i="3"/>
  <c r="J47" i="3"/>
  <c r="I47" i="3"/>
  <c r="H47" i="3"/>
  <c r="G47" i="3"/>
  <c r="F47" i="3"/>
  <c r="E47" i="3"/>
  <c r="D47" i="3"/>
  <c r="C47" i="3"/>
  <c r="B46" i="3"/>
  <c r="A46" i="3"/>
  <c r="B45" i="3"/>
  <c r="A45" i="3"/>
  <c r="B44" i="3"/>
  <c r="A44" i="3"/>
  <c r="B43" i="3"/>
  <c r="A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B11" i="3"/>
  <c r="A11" i="3"/>
  <c r="B10" i="3"/>
  <c r="A10" i="3"/>
  <c r="B9" i="3"/>
  <c r="A9" i="3"/>
  <c r="B8" i="3"/>
  <c r="A8" i="3"/>
  <c r="B7" i="3"/>
  <c r="A7" i="3"/>
  <c r="H6" i="3"/>
  <c r="N6" i="3" s="1"/>
  <c r="G6" i="3"/>
  <c r="M6" i="3" s="1"/>
  <c r="F6" i="3"/>
  <c r="L6" i="3" s="1"/>
  <c r="E6" i="3"/>
  <c r="K6" i="3" s="1"/>
  <c r="D6" i="3"/>
  <c r="J6" i="3" s="1"/>
  <c r="C6" i="3"/>
  <c r="I6" i="3" s="1"/>
  <c r="G5" i="3"/>
  <c r="D116" i="9" s="1"/>
  <c r="G116" i="9" s="1"/>
  <c r="F5" i="3"/>
  <c r="L5" i="3" s="1"/>
  <c r="C5" i="3"/>
  <c r="I5" i="3" s="1"/>
  <c r="I4" i="3"/>
  <c r="E115" i="9" s="1"/>
  <c r="C4" i="3"/>
  <c r="B115" i="9" s="1"/>
  <c r="B4" i="3"/>
  <c r="B1" i="3"/>
  <c r="C15" i="1" s="1"/>
  <c r="B14" i="2"/>
  <c r="B6" i="5" s="1"/>
  <c r="A14" i="2"/>
  <c r="A10" i="2"/>
  <c r="A9" i="2"/>
  <c r="A5" i="2"/>
  <c r="A3" i="2"/>
  <c r="B1" i="2"/>
  <c r="A1" i="2"/>
  <c r="C21" i="1"/>
  <c r="B21" i="1"/>
  <c r="C20" i="1"/>
  <c r="B20" i="1"/>
  <c r="A57" i="9" s="1"/>
  <c r="C19" i="1"/>
  <c r="B19" i="1"/>
  <c r="A2" i="9" s="1"/>
  <c r="C14" i="1"/>
  <c r="B14" i="1"/>
  <c r="C13" i="1"/>
  <c r="B13" i="1"/>
  <c r="C12" i="1"/>
  <c r="B12" i="1"/>
  <c r="A12" i="1"/>
  <c r="A10" i="1"/>
  <c r="B7" i="1"/>
  <c r="B5" i="1"/>
  <c r="A12" i="7" l="1"/>
  <c r="E12" i="7" s="1"/>
  <c r="E14" i="9" s="1"/>
  <c r="A137" i="9"/>
  <c r="A150" i="9"/>
  <c r="A25" i="7"/>
  <c r="H25" i="7" s="1"/>
  <c r="H27" i="9" s="1"/>
  <c r="H137" i="9" s="1"/>
  <c r="A161" i="9"/>
  <c r="A38" i="7"/>
  <c r="E38" i="7" s="1"/>
  <c r="E40" i="9" s="1"/>
  <c r="E150" i="9" s="1"/>
  <c r="A11" i="8"/>
  <c r="A24" i="8" s="1"/>
  <c r="A37" i="8" s="1"/>
  <c r="A49" i="8" s="1"/>
  <c r="A107" i="9"/>
  <c r="A12" i="8"/>
  <c r="A25" i="8" s="1"/>
  <c r="A38" i="8" s="1"/>
  <c r="A50" i="8" s="1"/>
  <c r="A14" i="9"/>
  <c r="A27" i="9"/>
  <c r="A95" i="9"/>
  <c r="A40" i="9"/>
  <c r="A9" i="7"/>
  <c r="G9" i="7" s="1"/>
  <c r="G11" i="9" s="1"/>
  <c r="G121" i="9" s="1"/>
  <c r="A69" i="9"/>
  <c r="A22" i="7"/>
  <c r="G22" i="7" s="1"/>
  <c r="G24" i="9" s="1"/>
  <c r="G134" i="9" s="1"/>
  <c r="A13" i="9"/>
  <c r="A120" i="9"/>
  <c r="A24" i="7"/>
  <c r="I24" i="7" s="1"/>
  <c r="I26" i="9" s="1"/>
  <c r="I136" i="9" s="1"/>
  <c r="A136" i="9"/>
  <c r="A36" i="7"/>
  <c r="G36" i="7" s="1"/>
  <c r="G38" i="9" s="1"/>
  <c r="G148" i="9" s="1"/>
  <c r="A25" i="9"/>
  <c r="A37" i="7"/>
  <c r="F37" i="7" s="1"/>
  <c r="F39" i="9" s="1"/>
  <c r="F149" i="9" s="1"/>
  <c r="A26" i="9"/>
  <c r="A145" i="9"/>
  <c r="A68" i="9"/>
  <c r="A94" i="9"/>
  <c r="A146" i="9"/>
  <c r="A45" i="7"/>
  <c r="B45" i="7" s="1"/>
  <c r="B47" i="9" s="1"/>
  <c r="A35" i="9"/>
  <c r="A91" i="9"/>
  <c r="A149" i="9"/>
  <c r="A39" i="9"/>
  <c r="A50" i="7"/>
  <c r="C50" i="7" s="1"/>
  <c r="C52" i="9" s="1"/>
  <c r="C162" i="9" s="1"/>
  <c r="A81" i="9"/>
  <c r="A162" i="9"/>
  <c r="A49" i="7"/>
  <c r="A7" i="7"/>
  <c r="D7" i="7" s="1"/>
  <c r="D9" i="9" s="1"/>
  <c r="A7" i="8"/>
  <c r="A20" i="8" s="1"/>
  <c r="A33" i="8" s="1"/>
  <c r="A45" i="8" s="1"/>
  <c r="A106" i="9"/>
  <c r="A11" i="7"/>
  <c r="B11" i="7" s="1"/>
  <c r="B13" i="9" s="1"/>
  <c r="B123" i="9" s="1"/>
  <c r="A10" i="8"/>
  <c r="A23" i="8" s="1"/>
  <c r="A36" i="8" s="1"/>
  <c r="A48" i="8" s="1"/>
  <c r="A9" i="9"/>
  <c r="A20" i="7"/>
  <c r="H20" i="7" s="1"/>
  <c r="H22" i="9" s="1"/>
  <c r="A12" i="9"/>
  <c r="A82" i="9"/>
  <c r="B17" i="8"/>
  <c r="A49" i="9"/>
  <c r="C17" i="7"/>
  <c r="G6" i="5"/>
  <c r="C30" i="7"/>
  <c r="F30" i="7" s="1"/>
  <c r="G12" i="7"/>
  <c r="G14" i="9" s="1"/>
  <c r="G124" i="9" s="1"/>
  <c r="A35" i="7"/>
  <c r="G35" i="7" s="1"/>
  <c r="G37" i="9" s="1"/>
  <c r="G147" i="9" s="1"/>
  <c r="A119" i="9"/>
  <c r="A88" i="9"/>
  <c r="A148" i="9"/>
  <c r="F16" i="7"/>
  <c r="A48" i="7"/>
  <c r="C48" i="7" s="1"/>
  <c r="C50" i="9" s="1"/>
  <c r="C160" i="9" s="1"/>
  <c r="A22" i="9"/>
  <c r="G38" i="7"/>
  <c r="G40" i="9" s="1"/>
  <c r="G150" i="9" s="1"/>
  <c r="A5" i="8"/>
  <c r="A18" i="8" s="1"/>
  <c r="A31" i="8" s="1"/>
  <c r="A43" i="8" s="1"/>
  <c r="A38" i="9"/>
  <c r="A80" i="9"/>
  <c r="A93" i="9"/>
  <c r="G7" i="7"/>
  <c r="G9" i="9" s="1"/>
  <c r="G119" i="9" s="1"/>
  <c r="A18" i="7"/>
  <c r="F18" i="7" s="1"/>
  <c r="F20" i="9" s="1"/>
  <c r="F130" i="9" s="1"/>
  <c r="A50" i="9"/>
  <c r="A122" i="9"/>
  <c r="A51" i="9"/>
  <c r="A65" i="9"/>
  <c r="A102" i="9"/>
  <c r="A43" i="7"/>
  <c r="C43" i="7" s="1"/>
  <c r="A31" i="7"/>
  <c r="C31" i="7" s="1"/>
  <c r="C33" i="9" s="1"/>
  <c r="A52" i="9"/>
  <c r="A45" i="9"/>
  <c r="A48" i="9"/>
  <c r="D119" i="9"/>
  <c r="A75" i="9"/>
  <c r="A143" i="9"/>
  <c r="A46" i="7"/>
  <c r="C46" i="7" s="1"/>
  <c r="C48" i="9" s="1"/>
  <c r="C158" i="9" s="1"/>
  <c r="B6" i="6"/>
  <c r="A21" i="7"/>
  <c r="D21" i="7" s="1"/>
  <c r="D23" i="9" s="1"/>
  <c r="D133" i="9" s="1"/>
  <c r="C17" i="8"/>
  <c r="A78" i="9"/>
  <c r="A157" i="9"/>
  <c r="A158" i="9"/>
  <c r="A117" i="9"/>
  <c r="A160" i="9"/>
  <c r="C4" i="7"/>
  <c r="F4" i="7" s="1"/>
  <c r="G4" i="7" s="1"/>
  <c r="B29" i="7"/>
  <c r="D4" i="8"/>
  <c r="G4" i="8" s="1"/>
  <c r="D4" i="7"/>
  <c r="A103" i="9"/>
  <c r="A5" i="7"/>
  <c r="C5" i="7" s="1"/>
  <c r="C7" i="9" s="1"/>
  <c r="C117" i="9" s="1"/>
  <c r="D30" i="7"/>
  <c r="G30" i="7" s="1"/>
  <c r="F6" i="5"/>
  <c r="A8" i="7"/>
  <c r="B8" i="7" s="1"/>
  <c r="B10" i="9" s="1"/>
  <c r="B120" i="9" s="1"/>
  <c r="A33" i="7"/>
  <c r="G33" i="7" s="1"/>
  <c r="G35" i="9" s="1"/>
  <c r="G145" i="9" s="1"/>
  <c r="A36" i="9"/>
  <c r="A132" i="9"/>
  <c r="A34" i="7"/>
  <c r="B34" i="7" s="1"/>
  <c r="B36" i="9" s="1"/>
  <c r="B146" i="9" s="1"/>
  <c r="E29" i="8"/>
  <c r="A64" i="9"/>
  <c r="A67" i="9"/>
  <c r="A77" i="9"/>
  <c r="A92" i="9"/>
  <c r="A105" i="9"/>
  <c r="A133" i="9"/>
  <c r="H132" i="9"/>
  <c r="B157" i="9"/>
  <c r="E124" i="9"/>
  <c r="C159" i="9"/>
  <c r="D5" i="7"/>
  <c r="G23" i="7"/>
  <c r="G25" i="9" s="1"/>
  <c r="G135" i="9" s="1"/>
  <c r="I25" i="7"/>
  <c r="I27" i="9" s="1"/>
  <c r="I137" i="9" s="1"/>
  <c r="B37" i="7"/>
  <c r="B39" i="9" s="1"/>
  <c r="B149" i="9" s="1"/>
  <c r="C42" i="7"/>
  <c r="B49" i="7"/>
  <c r="B51" i="9" s="1"/>
  <c r="B161" i="9" s="1"/>
  <c r="A21" i="9"/>
  <c r="A62" i="9"/>
  <c r="F70" i="9"/>
  <c r="A79" i="9"/>
  <c r="F83" i="9"/>
  <c r="M5" i="3"/>
  <c r="B17" i="7"/>
  <c r="H23" i="7"/>
  <c r="H25" i="9" s="1"/>
  <c r="H135" i="9" s="1"/>
  <c r="C37" i="7"/>
  <c r="C39" i="9" s="1"/>
  <c r="C149" i="9" s="1"/>
  <c r="C49" i="7"/>
  <c r="C51" i="9" s="1"/>
  <c r="C161" i="9" s="1"/>
  <c r="G70" i="9"/>
  <c r="G83" i="9"/>
  <c r="C96" i="9"/>
  <c r="G5" i="7"/>
  <c r="E11" i="7"/>
  <c r="E13" i="9" s="1"/>
  <c r="E123" i="9" s="1"/>
  <c r="E37" i="7"/>
  <c r="E39" i="9" s="1"/>
  <c r="E149" i="9" s="1"/>
  <c r="B50" i="7"/>
  <c r="B52" i="9" s="1"/>
  <c r="B162" i="9" s="1"/>
  <c r="A131" i="9"/>
  <c r="F20" i="7"/>
  <c r="F22" i="9" s="1"/>
  <c r="F132" i="9" s="1"/>
  <c r="A6" i="7"/>
  <c r="F11" i="7"/>
  <c r="F13" i="9" s="1"/>
  <c r="F123" i="9" s="1"/>
  <c r="E17" i="7"/>
  <c r="B24" i="7"/>
  <c r="B26" i="9" s="1"/>
  <c r="B136" i="9" s="1"/>
  <c r="A32" i="7"/>
  <c r="A44" i="7"/>
  <c r="F96" i="9"/>
  <c r="B128" i="9"/>
  <c r="B154" i="9"/>
  <c r="F17" i="7"/>
  <c r="C24" i="7"/>
  <c r="C26" i="9" s="1"/>
  <c r="C136" i="9" s="1"/>
  <c r="G37" i="7"/>
  <c r="G39" i="9" s="1"/>
  <c r="G149" i="9" s="1"/>
  <c r="F128" i="9"/>
  <c r="C154" i="9"/>
  <c r="B9" i="7"/>
  <c r="B11" i="9" s="1"/>
  <c r="B121" i="9" s="1"/>
  <c r="G17" i="7"/>
  <c r="B22" i="7"/>
  <c r="B24" i="9" s="1"/>
  <c r="B134" i="9" s="1"/>
  <c r="D24" i="7"/>
  <c r="D26" i="9" s="1"/>
  <c r="D136" i="9" s="1"/>
  <c r="A100" i="9"/>
  <c r="A155" i="9"/>
  <c r="A7" i="9"/>
  <c r="A24" i="9"/>
  <c r="A63" i="9"/>
  <c r="F5" i="7"/>
  <c r="D11" i="7"/>
  <c r="D13" i="9" s="1"/>
  <c r="D123" i="9" s="1"/>
  <c r="I23" i="7"/>
  <c r="I25" i="9" s="1"/>
  <c r="I135" i="9" s="1"/>
  <c r="C9" i="7"/>
  <c r="C11" i="9" s="1"/>
  <c r="C121" i="9" s="1"/>
  <c r="B12" i="7"/>
  <c r="B14" i="9" s="1"/>
  <c r="B124" i="9" s="1"/>
  <c r="C22" i="7"/>
  <c r="C24" i="9" s="1"/>
  <c r="C134" i="9" s="1"/>
  <c r="E24" i="7"/>
  <c r="E26" i="9" s="1"/>
  <c r="E136" i="9" s="1"/>
  <c r="C35" i="7"/>
  <c r="C37" i="9" s="1"/>
  <c r="C147" i="9" s="1"/>
  <c r="B38" i="7"/>
  <c r="B40" i="9" s="1"/>
  <c r="B150" i="9" s="1"/>
  <c r="B6" i="4"/>
  <c r="D9" i="7"/>
  <c r="D11" i="9" s="1"/>
  <c r="D121" i="9" s="1"/>
  <c r="C12" i="7"/>
  <c r="C14" i="9" s="1"/>
  <c r="C124" i="9" s="1"/>
  <c r="B20" i="7"/>
  <c r="B22" i="9" s="1"/>
  <c r="B132" i="9" s="1"/>
  <c r="D22" i="7"/>
  <c r="D24" i="9" s="1"/>
  <c r="D134" i="9" s="1"/>
  <c r="F24" i="7"/>
  <c r="F26" i="9" s="1"/>
  <c r="F136" i="9" s="1"/>
  <c r="C38" i="7"/>
  <c r="C40" i="9" s="1"/>
  <c r="C150" i="9" s="1"/>
  <c r="B3" i="8"/>
  <c r="A10" i="9"/>
  <c r="A66" i="9"/>
  <c r="B3" i="7"/>
  <c r="E9" i="7"/>
  <c r="E11" i="9" s="1"/>
  <c r="E121" i="9" s="1"/>
  <c r="D12" i="7"/>
  <c r="D14" i="9" s="1"/>
  <c r="D124" i="9" s="1"/>
  <c r="C20" i="7"/>
  <c r="C22" i="9" s="1"/>
  <c r="C132" i="9" s="1"/>
  <c r="E22" i="7"/>
  <c r="E24" i="9" s="1"/>
  <c r="E134" i="9" s="1"/>
  <c r="G24" i="7"/>
  <c r="G26" i="9" s="1"/>
  <c r="G136" i="9" s="1"/>
  <c r="E35" i="7"/>
  <c r="E37" i="9" s="1"/>
  <c r="E147" i="9" s="1"/>
  <c r="C45" i="7"/>
  <c r="C47" i="9" s="1"/>
  <c r="C157" i="9" s="1"/>
  <c r="E3" i="8"/>
  <c r="A101" i="9"/>
  <c r="A118" i="9"/>
  <c r="E129" i="9"/>
  <c r="A144" i="9"/>
  <c r="A156" i="9"/>
  <c r="D38" i="7"/>
  <c r="D40" i="9" s="1"/>
  <c r="D150" i="9" s="1"/>
  <c r="E3" i="7"/>
  <c r="F9" i="7"/>
  <c r="F11" i="9" s="1"/>
  <c r="F121" i="9" s="1"/>
  <c r="D20" i="7"/>
  <c r="D22" i="9" s="1"/>
  <c r="D132" i="9" s="1"/>
  <c r="F22" i="7"/>
  <c r="F24" i="9" s="1"/>
  <c r="F134" i="9" s="1"/>
  <c r="H24" i="7"/>
  <c r="H26" i="9" s="1"/>
  <c r="H136" i="9" s="1"/>
  <c r="E29" i="7"/>
  <c r="B4" i="8"/>
  <c r="E4" i="8" s="1"/>
  <c r="B16" i="8"/>
  <c r="A121" i="9"/>
  <c r="F129" i="9"/>
  <c r="A134" i="9"/>
  <c r="A147" i="9"/>
  <c r="B4" i="7"/>
  <c r="E4" i="7" s="1"/>
  <c r="F12" i="7"/>
  <c r="F14" i="9" s="1"/>
  <c r="F124" i="9" s="1"/>
  <c r="E20" i="7"/>
  <c r="E22" i="9" s="1"/>
  <c r="E132" i="9" s="1"/>
  <c r="B30" i="7"/>
  <c r="E30" i="7" s="1"/>
  <c r="F38" i="7"/>
  <c r="F40" i="9" s="1"/>
  <c r="F150" i="9" s="1"/>
  <c r="C4" i="8"/>
  <c r="F4" i="8" s="1"/>
  <c r="A20" i="9"/>
  <c r="A33" i="9"/>
  <c r="A89" i="9"/>
  <c r="C108" i="9"/>
  <c r="G129" i="9"/>
  <c r="C7" i="7"/>
  <c r="C9" i="9" s="1"/>
  <c r="C119" i="9" s="1"/>
  <c r="B10" i="7"/>
  <c r="B12" i="9" s="1"/>
  <c r="B122" i="9" s="1"/>
  <c r="G20" i="7"/>
  <c r="G22" i="9" s="1"/>
  <c r="G132" i="9" s="1"/>
  <c r="I22" i="7"/>
  <c r="I24" i="9" s="1"/>
  <c r="I134" i="9" s="1"/>
  <c r="B25" i="7"/>
  <c r="B27" i="9" s="1"/>
  <c r="B137" i="9" s="1"/>
  <c r="B36" i="7"/>
  <c r="B38" i="9" s="1"/>
  <c r="B148" i="9" s="1"/>
  <c r="A76" i="9"/>
  <c r="H6" i="5"/>
  <c r="C10" i="7"/>
  <c r="C12" i="9" s="1"/>
  <c r="C122" i="9" s="1"/>
  <c r="C25" i="7"/>
  <c r="C27" i="9" s="1"/>
  <c r="C137" i="9" s="1"/>
  <c r="C36" i="7"/>
  <c r="C38" i="9" s="1"/>
  <c r="C148" i="9" s="1"/>
  <c r="B47" i="7"/>
  <c r="B49" i="9" s="1"/>
  <c r="B159" i="9" s="1"/>
  <c r="B29" i="8"/>
  <c r="A8" i="9"/>
  <c r="E7" i="7"/>
  <c r="E9" i="9" s="1"/>
  <c r="E119" i="9" s="1"/>
  <c r="I20" i="7"/>
  <c r="I22" i="9" s="1"/>
  <c r="I132" i="9" s="1"/>
  <c r="D25" i="7"/>
  <c r="D27" i="9" s="1"/>
  <c r="D137" i="9" s="1"/>
  <c r="A11" i="9"/>
  <c r="J6" i="4"/>
  <c r="F7" i="7"/>
  <c r="F9" i="9" s="1"/>
  <c r="F119" i="9" s="1"/>
  <c r="E10" i="7"/>
  <c r="E12" i="9" s="1"/>
  <c r="E122" i="9" s="1"/>
  <c r="H18" i="7"/>
  <c r="C23" i="7"/>
  <c r="C25" i="9" s="1"/>
  <c r="C135" i="9" s="1"/>
  <c r="E25" i="7"/>
  <c r="E27" i="9" s="1"/>
  <c r="E137" i="9" s="1"/>
  <c r="E36" i="7"/>
  <c r="E38" i="9" s="1"/>
  <c r="E148" i="9" s="1"/>
  <c r="B30" i="8"/>
  <c r="E30" i="8" s="1"/>
  <c r="B42" i="8"/>
  <c r="A46" i="9"/>
  <c r="B116" i="9"/>
  <c r="E116" i="9" s="1"/>
  <c r="D10" i="7"/>
  <c r="D12" i="9" s="1"/>
  <c r="D122" i="9" s="1"/>
  <c r="B23" i="7"/>
  <c r="B25" i="9" s="1"/>
  <c r="B135" i="9" s="1"/>
  <c r="D36" i="7"/>
  <c r="D38" i="9" s="1"/>
  <c r="D148" i="9" s="1"/>
  <c r="B48" i="7"/>
  <c r="B50" i="9" s="1"/>
  <c r="B160" i="9" s="1"/>
  <c r="A6" i="8"/>
  <c r="A19" i="8" s="1"/>
  <c r="A32" i="8" s="1"/>
  <c r="A44" i="8" s="1"/>
  <c r="C30" i="8"/>
  <c r="F30" i="8" s="1"/>
  <c r="C116" i="9"/>
  <c r="F116" i="9" s="1"/>
  <c r="B7" i="7"/>
  <c r="B9" i="9" s="1"/>
  <c r="B119" i="9" s="1"/>
  <c r="F10" i="7"/>
  <c r="F12" i="9" s="1"/>
  <c r="F122" i="9" s="1"/>
  <c r="I18" i="7"/>
  <c r="D23" i="7"/>
  <c r="D25" i="9" s="1"/>
  <c r="D135" i="9" s="1"/>
  <c r="F25" i="7"/>
  <c r="F27" i="9" s="1"/>
  <c r="F137" i="9" s="1"/>
  <c r="F36" i="7"/>
  <c r="F38" i="9" s="1"/>
  <c r="F148" i="9" s="1"/>
  <c r="B5" i="7"/>
  <c r="A19" i="7"/>
  <c r="C21" i="7"/>
  <c r="C23" i="9" s="1"/>
  <c r="C133" i="9" s="1"/>
  <c r="E23" i="7"/>
  <c r="E25" i="9" s="1"/>
  <c r="E135" i="9" s="1"/>
  <c r="G25" i="7"/>
  <c r="G27" i="9" s="1"/>
  <c r="G137" i="9" s="1"/>
  <c r="B31" i="7"/>
  <c r="D30" i="8"/>
  <c r="G30" i="8" s="1"/>
  <c r="A90" i="9"/>
  <c r="A104" i="9"/>
  <c r="A159" i="9"/>
  <c r="B43" i="7" l="1"/>
  <c r="H22" i="7"/>
  <c r="H24" i="9" s="1"/>
  <c r="H134" i="9" s="1"/>
  <c r="F35" i="7"/>
  <c r="F37" i="9" s="1"/>
  <c r="F147" i="9" s="1"/>
  <c r="D37" i="7"/>
  <c r="D39" i="9" s="1"/>
  <c r="D149" i="9" s="1"/>
  <c r="F21" i="7"/>
  <c r="F23" i="9" s="1"/>
  <c r="F133" i="9" s="1"/>
  <c r="E5" i="7"/>
  <c r="E7" i="9" s="1"/>
  <c r="D35" i="7"/>
  <c r="D37" i="9" s="1"/>
  <c r="D147" i="9" s="1"/>
  <c r="B18" i="7"/>
  <c r="B20" i="9" s="1"/>
  <c r="C11" i="7"/>
  <c r="C13" i="9" s="1"/>
  <c r="C123" i="9" s="1"/>
  <c r="D8" i="7"/>
  <c r="D10" i="9" s="1"/>
  <c r="D120" i="9" s="1"/>
  <c r="G18" i="7"/>
  <c r="G20" i="9" s="1"/>
  <c r="C18" i="7"/>
  <c r="B35" i="7"/>
  <c r="B37" i="9" s="1"/>
  <c r="B147" i="9" s="1"/>
  <c r="F8" i="7"/>
  <c r="F10" i="9" s="1"/>
  <c r="F120" i="9" s="1"/>
  <c r="F31" i="7"/>
  <c r="F33" i="9" s="1"/>
  <c r="G11" i="7"/>
  <c r="G13" i="9" s="1"/>
  <c r="G123" i="9" s="1"/>
  <c r="D18" i="7"/>
  <c r="D20" i="9" s="1"/>
  <c r="G21" i="7"/>
  <c r="G23" i="9" s="1"/>
  <c r="G133" i="9" s="1"/>
  <c r="B21" i="7"/>
  <c r="B23" i="9" s="1"/>
  <c r="B133" i="9" s="1"/>
  <c r="I21" i="7"/>
  <c r="I23" i="9" s="1"/>
  <c r="I133" i="9" s="1"/>
  <c r="H21" i="7"/>
  <c r="H23" i="9" s="1"/>
  <c r="H133" i="9" s="1"/>
  <c r="E34" i="7"/>
  <c r="E36" i="9" s="1"/>
  <c r="E146" i="9" s="1"/>
  <c r="G31" i="7"/>
  <c r="E33" i="7"/>
  <c r="E35" i="9" s="1"/>
  <c r="E145" i="9" s="1"/>
  <c r="C34" i="7"/>
  <c r="C36" i="9" s="1"/>
  <c r="C146" i="9" s="1"/>
  <c r="D31" i="7"/>
  <c r="D33" i="9" s="1"/>
  <c r="E31" i="7"/>
  <c r="E33" i="9" s="1"/>
  <c r="F34" i="7"/>
  <c r="F36" i="9" s="1"/>
  <c r="F146" i="9" s="1"/>
  <c r="E18" i="7"/>
  <c r="E20" i="9" s="1"/>
  <c r="E130" i="9" s="1"/>
  <c r="D34" i="7"/>
  <c r="D36" i="9" s="1"/>
  <c r="D146" i="9" s="1"/>
  <c r="C8" i="7"/>
  <c r="C10" i="9" s="1"/>
  <c r="C120" i="9" s="1"/>
  <c r="B46" i="7"/>
  <c r="B48" i="9" s="1"/>
  <c r="B158" i="9" s="1"/>
  <c r="E8" i="7"/>
  <c r="E10" i="9" s="1"/>
  <c r="E120" i="9" s="1"/>
  <c r="D33" i="7"/>
  <c r="D35" i="9" s="1"/>
  <c r="D145" i="9" s="1"/>
  <c r="B33" i="7"/>
  <c r="B35" i="9" s="1"/>
  <c r="B145" i="9" s="1"/>
  <c r="C33" i="7"/>
  <c r="C35" i="9" s="1"/>
  <c r="C145" i="9" s="1"/>
  <c r="G34" i="7"/>
  <c r="G36" i="9" s="1"/>
  <c r="G146" i="9" s="1"/>
  <c r="F33" i="7"/>
  <c r="F35" i="9" s="1"/>
  <c r="F145" i="9" s="1"/>
  <c r="E21" i="7"/>
  <c r="E23" i="9" s="1"/>
  <c r="E133" i="9" s="1"/>
  <c r="G8" i="7"/>
  <c r="G10" i="9" s="1"/>
  <c r="G120" i="9" s="1"/>
  <c r="B45" i="9"/>
  <c r="D7" i="9"/>
  <c r="C45" i="9"/>
  <c r="B33" i="9"/>
  <c r="F7" i="9"/>
  <c r="G33" i="9"/>
  <c r="G6" i="7"/>
  <c r="G8" i="9" s="1"/>
  <c r="G118" i="9" s="1"/>
  <c r="F6" i="7"/>
  <c r="F8" i="9" s="1"/>
  <c r="F118" i="9" s="1"/>
  <c r="E6" i="7"/>
  <c r="E8" i="9" s="1"/>
  <c r="E118" i="9" s="1"/>
  <c r="D6" i="7"/>
  <c r="D8" i="9" s="1"/>
  <c r="D118" i="9" s="1"/>
  <c r="C6" i="7"/>
  <c r="B6" i="7"/>
  <c r="B8" i="9" s="1"/>
  <c r="B118" i="9" s="1"/>
  <c r="C20" i="9"/>
  <c r="B19" i="7"/>
  <c r="B21" i="9" s="1"/>
  <c r="B131" i="9" s="1"/>
  <c r="E19" i="7"/>
  <c r="I19" i="7"/>
  <c r="I21" i="9" s="1"/>
  <c r="I131" i="9" s="1"/>
  <c r="H19" i="7"/>
  <c r="H21" i="9" s="1"/>
  <c r="H131" i="9" s="1"/>
  <c r="G19" i="7"/>
  <c r="G21" i="9" s="1"/>
  <c r="G131" i="9" s="1"/>
  <c r="F19" i="7"/>
  <c r="D19" i="7"/>
  <c r="D21" i="9" s="1"/>
  <c r="D131" i="9" s="1"/>
  <c r="C19" i="7"/>
  <c r="C21" i="9" s="1"/>
  <c r="C131" i="9" s="1"/>
  <c r="B7" i="9"/>
  <c r="C44" i="7"/>
  <c r="C46" i="9" s="1"/>
  <c r="C156" i="9" s="1"/>
  <c r="B44" i="7"/>
  <c r="B46" i="9" s="1"/>
  <c r="B156" i="9" s="1"/>
  <c r="G7" i="9"/>
  <c r="I17" i="8"/>
  <c r="I129" i="9"/>
  <c r="I17" i="7"/>
  <c r="G32" i="7"/>
  <c r="G34" i="9" s="1"/>
  <c r="G144" i="9" s="1"/>
  <c r="F32" i="7"/>
  <c r="F34" i="9" s="1"/>
  <c r="F144" i="9" s="1"/>
  <c r="E32" i="7"/>
  <c r="E34" i="9" s="1"/>
  <c r="E144" i="9" s="1"/>
  <c r="D32" i="7"/>
  <c r="D34" i="9" s="1"/>
  <c r="D144" i="9" s="1"/>
  <c r="C32" i="7"/>
  <c r="B32" i="7"/>
  <c r="B34" i="9" s="1"/>
  <c r="B144" i="9" s="1"/>
  <c r="C143" i="9"/>
  <c r="I20" i="9"/>
  <c r="H20" i="9"/>
  <c r="E13" i="7" l="1"/>
  <c r="G26" i="7"/>
  <c r="G13" i="7"/>
  <c r="C51" i="7"/>
  <c r="B26" i="7"/>
  <c r="C26" i="7"/>
  <c r="G28" i="9"/>
  <c r="G130" i="9"/>
  <c r="G138" i="9" s="1"/>
  <c r="C8" i="9"/>
  <c r="C13" i="7"/>
  <c r="D13" i="7"/>
  <c r="C34" i="9"/>
  <c r="C39" i="7"/>
  <c r="E15" i="9"/>
  <c r="E117" i="9"/>
  <c r="E125" i="9" s="1"/>
  <c r="D28" i="9"/>
  <c r="D130" i="9"/>
  <c r="D138" i="9" s="1"/>
  <c r="C53" i="9"/>
  <c r="C155" i="9"/>
  <c r="C163" i="9" s="1"/>
  <c r="G15" i="9"/>
  <c r="G117" i="9"/>
  <c r="G125" i="9" s="1"/>
  <c r="E21" i="9"/>
  <c r="E26" i="7"/>
  <c r="F41" i="9"/>
  <c r="F143" i="9"/>
  <c r="F151" i="9" s="1"/>
  <c r="H26" i="7"/>
  <c r="B13" i="7"/>
  <c r="G39" i="7"/>
  <c r="F39" i="7"/>
  <c r="H28" i="9"/>
  <c r="H130" i="9"/>
  <c r="H138" i="9" s="1"/>
  <c r="F15" i="9"/>
  <c r="F117" i="9"/>
  <c r="F125" i="9" s="1"/>
  <c r="C130" i="9"/>
  <c r="C138" i="9" s="1"/>
  <c r="C28" i="9"/>
  <c r="D15" i="9"/>
  <c r="D117" i="9"/>
  <c r="D125" i="9" s="1"/>
  <c r="D39" i="7"/>
  <c r="I26" i="7"/>
  <c r="B28" i="9"/>
  <c r="B130" i="9"/>
  <c r="B138" i="9" s="1"/>
  <c r="D41" i="9"/>
  <c r="D143" i="9"/>
  <c r="D151" i="9" s="1"/>
  <c r="B117" i="9"/>
  <c r="B125" i="9" s="1"/>
  <c r="B15" i="9"/>
  <c r="G41" i="9"/>
  <c r="G143" i="9"/>
  <c r="G151" i="9" s="1"/>
  <c r="F13" i="7"/>
  <c r="E41" i="9"/>
  <c r="E143" i="9"/>
  <c r="E151" i="9" s="1"/>
  <c r="I28" i="9"/>
  <c r="I130" i="9"/>
  <c r="I138" i="9" s="1"/>
  <c r="B41" i="9"/>
  <c r="B143" i="9"/>
  <c r="B151" i="9" s="1"/>
  <c r="E39" i="7"/>
  <c r="F21" i="9"/>
  <c r="F26" i="7"/>
  <c r="B39" i="7"/>
  <c r="B51" i="7"/>
  <c r="D26" i="7"/>
  <c r="B53" i="9"/>
  <c r="B155" i="9"/>
  <c r="B163" i="9" s="1"/>
  <c r="E131" i="9" l="1"/>
  <c r="E138" i="9" s="1"/>
  <c r="E28" i="9"/>
  <c r="F131" i="9"/>
  <c r="F138" i="9" s="1"/>
  <c r="F28" i="9"/>
  <c r="C144" i="9"/>
  <c r="C151" i="9" s="1"/>
  <c r="C41" i="9"/>
  <c r="C118" i="9"/>
  <c r="C125" i="9" s="1"/>
  <c r="C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14" authorId="0" shapeId="0" xr:uid="{00000000-0006-0000-0100-000001000000}">
      <text>
        <r>
          <rPr>
            <sz val="12"/>
            <color theme="1"/>
            <rFont val="Calibri"/>
            <family val="2"/>
            <scheme val="minor"/>
          </rPr>
          <t>Seos valida rippmenüüst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6" authorId="0" shapeId="0" xr:uid="{00000000-0006-0000-0200-000001000000}">
      <text>
        <r>
          <rPr>
            <sz val="12"/>
            <color theme="1"/>
            <rFont val="Calibri"/>
            <family val="2"/>
            <scheme val="minor"/>
          </rPr>
          <t>Seos valida rippmenüüst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6" authorId="0" shapeId="0" xr:uid="{00000000-0006-0000-0300-000001000000}">
      <text>
        <r>
          <rPr>
            <sz val="12"/>
            <color theme="1"/>
            <rFont val="Calibri"/>
            <family val="2"/>
            <scheme val="minor"/>
          </rPr>
          <t>Seos valida rippmenüüst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6" authorId="0" shapeId="0" xr:uid="{00000000-0006-0000-0400-000001000000}">
      <text>
        <r>
          <rPr>
            <sz val="12"/>
            <color theme="1"/>
            <rFont val="Calibri"/>
            <family val="2"/>
            <scheme val="minor"/>
          </rPr>
          <t>Seos valida rippmenüüst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6" authorId="0" shapeId="0" xr:uid="{00000000-0006-0000-0500-000001000000}">
      <text>
        <r>
          <rPr>
            <sz val="12"/>
            <color theme="1"/>
            <rFont val="Calibri"/>
            <family val="2"/>
            <scheme val="minor"/>
          </rPr>
          <t>Seos valida rippmenüüst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Sergei Tšistjakov</author>
  </authors>
  <commentList>
    <comment ref="A112" authorId="0" shapeId="0" xr:uid="{00000000-0006-0000-0800-000001000000}">
      <text>
        <r>
          <rPr>
            <sz val="12"/>
            <color theme="1"/>
            <rFont val="Calibri"/>
            <family val="2"/>
            <scheme val="minor"/>
          </rPr>
          <t xml:space="preserve">Üle 10-euriste vahedega lahtrid ilmuvad punastena
</t>
        </r>
      </text>
    </comment>
  </commentList>
</comments>
</file>

<file path=xl/sharedStrings.xml><?xml version="1.0" encoding="utf-8"?>
<sst xmlns="http://schemas.openxmlformats.org/spreadsheetml/2006/main" count="274" uniqueCount="228">
  <si>
    <t>KEELEVALIK / SELECT LANGUAGE / ВЫБЕРИТЕ ЯЗЫК:</t>
  </si>
  <si>
    <t>English</t>
  </si>
  <si>
    <t>2.1</t>
  </si>
  <si>
    <t>2.2</t>
  </si>
  <si>
    <t>2.3</t>
  </si>
  <si>
    <t>2.4</t>
  </si>
  <si>
    <t>Instructions</t>
  </si>
  <si>
    <t>SEOS</t>
  </si>
  <si>
    <t>LÜHIAJALISED</t>
  </si>
  <si>
    <t>PIKAAJALISED</t>
  </si>
  <si>
    <t>Nõuded ja ettemaksed</t>
  </si>
  <si>
    <t>Laenukohustised</t>
  </si>
  <si>
    <t>Võlad ja ettemaksed</t>
  </si>
  <si>
    <t>ANTUD LAENUD</t>
  </si>
  <si>
    <t>LAENUKOHUSTISED (saadud laenud)</t>
  </si>
  <si>
    <t>Antud laenud</t>
  </si>
  <si>
    <t>Antud laenude tagasimaksed</t>
  </si>
  <si>
    <t>Perioodi arvestatud intressid</t>
  </si>
  <si>
    <t>Saadud laenud</t>
  </si>
  <si>
    <t>Saadud laenude tagasimaksed</t>
  </si>
  <si>
    <t>MÜÜDUD</t>
  </si>
  <si>
    <t>OSTETUD</t>
  </si>
  <si>
    <t>Kaubad</t>
  </si>
  <si>
    <t>Teenused</t>
  </si>
  <si>
    <t>Põhivarad</t>
  </si>
  <si>
    <t>ANTUD GARANTIID ja TAGATISED</t>
  </si>
  <si>
    <t>SAADUD GARANTIID ja TAGATISED</t>
  </si>
  <si>
    <t>KEEL</t>
  </si>
  <si>
    <t>Eesti keel</t>
  </si>
  <si>
    <t>Русский язык</t>
  </si>
  <si>
    <t>Seos</t>
  </si>
  <si>
    <t>audit_company__name</t>
  </si>
  <si>
    <t>Audiitorettevõtja » Audiitorettevõtja nimi</t>
  </si>
  <si>
    <t>Assertum Audit OÜ</t>
  </si>
  <si>
    <t>audit_company__regcode</t>
  </si>
  <si>
    <t>Audiitorettevõtja » Registrikood</t>
  </si>
  <si>
    <t>projects__auditors_report_other_claims</t>
  </si>
  <si>
    <t>Audiitori aruanne » Aruanne muude seadusest tulenevate ja regulatiivsete nõuete koht</t>
  </si>
  <si>
    <t>projects__auditors_report_emphasis_of_matter</t>
  </si>
  <si>
    <t>Audiitori aruanne » Asjaolu rõhutamine</t>
  </si>
  <si>
    <t>projects__cl_auditors_report_type</t>
  </si>
  <si>
    <t>Audiitori aruanne » Audiitoriaruande tüüp</t>
  </si>
  <si>
    <t>projects__auditors_report_modification</t>
  </si>
  <si>
    <t>Audiitori aruanne » Modifikatsioon</t>
  </si>
  <si>
    <t>projects__auditors_report_circumstances</t>
  </si>
  <si>
    <t>Audiitori aruanne » Muu asjaolu lõik</t>
  </si>
  <si>
    <t>projects__auditors_report_other_information</t>
  </si>
  <si>
    <t>Audiitori aruanne » Muu informatsioon</t>
  </si>
  <si>
    <t>projects__auditors_report_primary_factors</t>
  </si>
  <si>
    <t>Audiitori aruanne » Peamised auditi asjaolud</t>
  </si>
  <si>
    <t>projects__auditors_report_continuation_uncertainty</t>
  </si>
  <si>
    <t>Audiitori aruanne » Tegevuse jätkuvusega seotud oluline ebakindlus</t>
  </si>
  <si>
    <t>companies__name</t>
  </si>
  <si>
    <t>Klient</t>
  </si>
  <si>
    <t>RTS Infra Eesti OÜ</t>
  </si>
  <si>
    <t>companies__address</t>
  </si>
  <si>
    <t>Klient » Aadress</t>
  </si>
  <si>
    <t>Peterburi tee 2f</t>
  </si>
  <si>
    <t>companies__ehak</t>
  </si>
  <si>
    <t>Klient » Haldus- ja asustusjaotus</t>
  </si>
  <si>
    <t>Tallinn</t>
  </si>
  <si>
    <t>companies__zipcode</t>
  </si>
  <si>
    <t>Klient » Indeks</t>
  </si>
  <si>
    <t>11415</t>
  </si>
  <si>
    <t>companies__relationship_start_date</t>
  </si>
  <si>
    <t>Klient » Kliendisuhte tekke kuupäev</t>
  </si>
  <si>
    <t>companies__regcode</t>
  </si>
  <si>
    <t>Klient » Registrikood</t>
  </si>
  <si>
    <t>16328599</t>
  </si>
  <si>
    <t>companies__country</t>
  </si>
  <si>
    <t>Klient » Riik</t>
  </si>
  <si>
    <t>Eesti</t>
  </si>
  <si>
    <t>companies__field_of_activity</t>
  </si>
  <si>
    <t>Klient » Tegevusvaldkond</t>
  </si>
  <si>
    <t>Muude puitplaatide tootmine (16219)</t>
  </si>
  <si>
    <t>projects__materiality_total</t>
  </si>
  <si>
    <t>Olulisus » Aruandetasemel olulisuse määr</t>
  </si>
  <si>
    <t>projects__retained_earnings_accounts</t>
  </si>
  <si>
    <t>Olulisus » Jaotamata kasumi kontod</t>
  </si>
  <si>
    <t>projects__performance_materiality</t>
  </si>
  <si>
    <t>Olulisus » Läbiviimise olulisus</t>
  </si>
  <si>
    <t>projects__performance_materiality_extent</t>
  </si>
  <si>
    <t>Olulisus » Läbiviimise olulisuse määr</t>
  </si>
  <si>
    <t>projects__materiality_description</t>
  </si>
  <si>
    <t>Olulisus » Olulisuse määrangu selgitus, spetsiifiline olulisus (kui määratud)</t>
  </si>
  <si>
    <t>projects__cl_materiality_formula</t>
  </si>
  <si>
    <t>Olulisus » Olulisuse valem</t>
  </si>
  <si>
    <t>projects__misstatements_detection_limit_extent</t>
  </si>
  <si>
    <t>Olulisus » Selgelt tühiste väärkjastamiste määr</t>
  </si>
  <si>
    <t>projects__misstatements_detection_limit</t>
  </si>
  <si>
    <t>Olulisus » Väärkajastuste tuvastamiskünnis</t>
  </si>
  <si>
    <t>projects__annual_report_sign_date</t>
  </si>
  <si>
    <t>Projekt » Aastaaruande allkirjastamiskuupäev</t>
  </si>
  <si>
    <t>projects__cl_data_source</t>
  </si>
  <si>
    <t>Projekt » Andmeallikas</t>
  </si>
  <si>
    <t>Aruandepõhine</t>
  </si>
  <si>
    <t>projects__archiving_date</t>
  </si>
  <si>
    <t>Projekt » Arhiveerimiskuupäev</t>
  </si>
  <si>
    <t>projects__audit_report_end_date</t>
  </si>
  <si>
    <t>Projekt » Aruande lõpetamise kuupäev</t>
  </si>
  <si>
    <t>projects__annual_report_start</t>
  </si>
  <si>
    <t>Projekt » Aruandeaasta alguskuupäev</t>
  </si>
  <si>
    <t>projects__annual_report_end</t>
  </si>
  <si>
    <t>Projekt » Aruandeaasta lõppkuupäev</t>
  </si>
  <si>
    <t>projects__cl_accounting_practices</t>
  </si>
  <si>
    <t>Projekt » Aruandlusraamistik</t>
  </si>
  <si>
    <t>Eesti finantsaruandluse standard</t>
  </si>
  <si>
    <t>projects__cl_auditors_assessment</t>
  </si>
  <si>
    <t>Projekt » Audiitori koondhinnang</t>
  </si>
  <si>
    <t>projects__audit_entitiy</t>
  </si>
  <si>
    <t>Projekt » Auditeeritav üksus</t>
  </si>
  <si>
    <t>projects__audit_period_start_date</t>
  </si>
  <si>
    <t>Projekt » Auditeeritava perioodi algus</t>
  </si>
  <si>
    <t>projects__audit_period_end_date</t>
  </si>
  <si>
    <t>Projekt » Auditeeritava perioodi lõpp</t>
  </si>
  <si>
    <t>projects__audit_purpose</t>
  </si>
  <si>
    <t>Projekt » Auditi eesmärgid</t>
  </si>
  <si>
    <t>projects__audit_restriction</t>
  </si>
  <si>
    <t>Projekt » Auditi piirangud</t>
  </si>
  <si>
    <t>projects__audit_background_information</t>
  </si>
  <si>
    <t>Projekt » Auditi taustainfo</t>
  </si>
  <si>
    <t>projects__conclusion_date</t>
  </si>
  <si>
    <t>Projekt » Auditiaruande kuupäev</t>
  </si>
  <si>
    <t>projects__cl_audit_practices</t>
  </si>
  <si>
    <t>Projekt » Audititava</t>
  </si>
  <si>
    <t>Rahvusvahelised auditeerimisstandardid (Eesti) - (ISA (EE))</t>
  </si>
  <si>
    <t>projects__is_public_interest_entity</t>
  </si>
  <si>
    <t>Projekt » Avaliku huvi üksus</t>
  </si>
  <si>
    <t>projects__estimated_archiving_date</t>
  </si>
  <si>
    <t>Projekt » Eeldatav arhiveerimise kuupäev</t>
  </si>
  <si>
    <t>projects__estimated_conclusion_date</t>
  </si>
  <si>
    <t>Projekt » Eeldatav auditiaruande kuupäev</t>
  </si>
  <si>
    <t>projects__confirmation_letter_sign_date</t>
  </si>
  <si>
    <t>Projekt » Esitiskirja allkirjastamise kuupäev</t>
  </si>
  <si>
    <t>projects__is_first_time_contract</t>
  </si>
  <si>
    <t>Projekt » Esmakordne töövõtt</t>
  </si>
  <si>
    <t>projects__groups_auditor</t>
  </si>
  <si>
    <t>Projekt » Grupi finantsaruannete audiitor</t>
  </si>
  <si>
    <t>projects__contract_time_estimate</t>
  </si>
  <si>
    <t>Projekt » Hinnanguline lepinguliste tööde maht (t)</t>
  </si>
  <si>
    <t>projects__auditors_assessment_description</t>
  </si>
  <si>
    <t>Projekt » Koondhinnangu kirjeldus</t>
  </si>
  <si>
    <t>projects__quality_control_end_date</t>
  </si>
  <si>
    <t>Projekt » Kvaliteedikontrolli lõpetamise kuupäev</t>
  </si>
  <si>
    <t>projects__contract_fee</t>
  </si>
  <si>
    <t>Projekt » Lepinguline tasu (lepingus)</t>
  </si>
  <si>
    <t>projects__audit_other_info</t>
  </si>
  <si>
    <t>Projekt » Muu info</t>
  </si>
  <si>
    <t>projects__no</t>
  </si>
  <si>
    <t>Projekt » Nr</t>
  </si>
  <si>
    <t>projects__project_start_date</t>
  </si>
  <si>
    <t>Projekt » Projekti alguskuupäev</t>
  </si>
  <si>
    <t>projects__name</t>
  </si>
  <si>
    <t>Projekt » Projekti nimetus</t>
  </si>
  <si>
    <t>RTS Infra Eesti OÜ 2023 AUD</t>
  </si>
  <si>
    <t>projects__is_archived</t>
  </si>
  <si>
    <t>Projekt » Projekti staatus</t>
  </si>
  <si>
    <t>projects__cl_internal_audit_type</t>
  </si>
  <si>
    <t>Projekt » Siseauditi liik</t>
  </si>
  <si>
    <t>projects__independent_auditors_sign_date</t>
  </si>
  <si>
    <t>Projekt » Sõltumatu vandeaudiitori allkirjastamise kuupäev</t>
  </si>
  <si>
    <t>projects__cl_type</t>
  </si>
  <si>
    <t>Projekt » Töövõtu liik</t>
  </si>
  <si>
    <t>Ülevaatus</t>
  </si>
  <si>
    <t>tasks__review_email</t>
  </si>
  <si>
    <t>Tehtu ülevaataja » E-posti aadress</t>
  </si>
  <si>
    <t>sergei.tsistjakov@assertum.ee</t>
  </si>
  <si>
    <t>tasks__review_first_name</t>
  </si>
  <si>
    <t>Tehtu ülevaataja » Eesnimi</t>
  </si>
  <si>
    <t>Sergei</t>
  </si>
  <si>
    <t>tasks__review_initials</t>
  </si>
  <si>
    <t>Tehtu ülevaataja » Initsiaalid</t>
  </si>
  <si>
    <t>ST</t>
  </si>
  <si>
    <t>tasks__review_idcode</t>
  </si>
  <si>
    <t>Tehtu ülevaataja » Isikukood</t>
  </si>
  <si>
    <t>36711302710</t>
  </si>
  <si>
    <t>tasks__review_last_name</t>
  </si>
  <si>
    <t>Tehtu ülevaataja » Perekonnanimi</t>
  </si>
  <si>
    <t>Tšistjakov</t>
  </si>
  <si>
    <t>tasks__users_email</t>
  </si>
  <si>
    <t>Teostaja » E-posti aadress</t>
  </si>
  <si>
    <t>tasks__users_first_name</t>
  </si>
  <si>
    <t>Teostaja » Eesnimi</t>
  </si>
  <si>
    <t>tasks__users_initials</t>
  </si>
  <si>
    <t>Teostaja » Initsiaalid</t>
  </si>
  <si>
    <t>tasks__users_idcode</t>
  </si>
  <si>
    <t>Teostaja » Isikukood</t>
  </si>
  <si>
    <t>tasks__users_last_name</t>
  </si>
  <si>
    <t>Teostaja » Perekonnanimi</t>
  </si>
  <si>
    <t>tasks__goal</t>
  </si>
  <si>
    <t>Tööülesanne » Eesmärk</t>
  </si>
  <si>
    <t>tasks__id</t>
  </si>
  <si>
    <t>Tööülesanne » ID</t>
  </si>
  <si>
    <t>tasks__result</t>
  </si>
  <si>
    <t>Tööülesanne » Kokkuvõte tehtust</t>
  </si>
  <si>
    <t>tasks__is_cl_assessment_approach_ctl</t>
  </si>
  <si>
    <t>Tööülesanne » Lähenemisviis » Kontrollipõhine</t>
  </si>
  <si>
    <t>tasks__is_cl_assessment_approach_anl</t>
  </si>
  <si>
    <t>Tööülesanne » Lähenemisviis » Substantiivne - analüütilised testid</t>
  </si>
  <si>
    <t>tasks__is_cl_assessment_approach_dtl</t>
  </si>
  <si>
    <t>Tööülesanne » Lähenemisviis » Substantiivne - detailide testid</t>
  </si>
  <si>
    <t>tasks__other_info</t>
  </si>
  <si>
    <t>Tööülesanne » Muu info</t>
  </si>
  <si>
    <t>tasks__is_fraud_risk</t>
  </si>
  <si>
    <t>Tööülesanne » Pettuserisk</t>
  </si>
  <si>
    <t>tasks__cl_status</t>
  </si>
  <si>
    <t>Tööülesanne » Staatus</t>
  </si>
  <si>
    <t>Pooleli</t>
  </si>
  <si>
    <t>tasks__review_time</t>
  </si>
  <si>
    <t>Tööülesanne » Staatuse muutuskuupäev</t>
  </si>
  <si>
    <t>tasks__standard_link</t>
  </si>
  <si>
    <t>Tööülesanne » Standardi hüperlink</t>
  </si>
  <si>
    <t>tasks__work_description</t>
  </si>
  <si>
    <t>Tööülesanne » Tehtava / tehtu kirjeldus</t>
  </si>
  <si>
    <t>tasks__finished_time</t>
  </si>
  <si>
    <t>Tööülesanne » Teostamisaeg</t>
  </si>
  <si>
    <t>tasks__name</t>
  </si>
  <si>
    <t>Tööülesanne » Tööülesande nimetus</t>
  </si>
  <si>
    <t>Aruandekuupäevajärgsed sündmused</t>
  </si>
  <si>
    <t>tasks__standard_refno</t>
  </si>
  <si>
    <t>Tööülesanne » Viidatav standard/ Standardi lõik</t>
  </si>
  <si>
    <t>tasks__refno</t>
  </si>
  <si>
    <t>Tööülesanne » Viide</t>
  </si>
  <si>
    <t>02.RR.0.2</t>
  </si>
  <si>
    <t>tasks__assertions</t>
  </si>
  <si>
    <t>Tööülesanne » Väited</t>
  </si>
  <si>
    <t>meta__file_last_updated</t>
  </si>
  <si>
    <t>Uuendatud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</si>
</sst>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yy;@"/>
    <numFmt numFmtId="165" formatCode="yyyy\-mm\-dd"/>
    <numFmt numFmtId="166" formatCode="yyyy\-mm\-dd\ h:mm:ss"/>
    <numFmt numFmtId="167" formatCode="_-* #,##0_-;\-* #,##0_-;_-* &quot;-&quot;??_-;_-@_-"/>
  </numFmts>
  <fonts count="19">
    <font>
      <sz val="12"/>
      <color theme="1"/>
      <name val="Calibri"/>
      <family val="2"/>
      <scheme val="minor"/>
    </font>
    <font>
      <b/>
      <sz val="12"/>
      <color theme="1"/>
      <name val="Calibri"/>
      <family val="2"/>
      <scheme val="minor"/>
    </font>
    <font>
      <sz val="13"/>
      <color theme="1"/>
      <name val="Calibri"/>
      <family val="2"/>
      <scheme val="minor"/>
    </font>
    <font>
      <b/>
      <i/>
      <sz val="18"/>
      <color theme="1"/>
      <name val="Calibri"/>
      <family val="2"/>
      <scheme val="minor"/>
    </font>
    <font>
      <b/>
      <sz val="13"/>
      <color theme="1"/>
      <name val="Calibri"/>
      <family val="2"/>
      <scheme val="minor"/>
    </font>
    <font>
      <b/>
      <sz val="14"/>
      <color theme="1"/>
      <name val="Calibri"/>
      <family val="2"/>
      <scheme val="minor"/>
    </font>
    <font>
      <sz val="11"/>
      <color theme="1"/>
      <name val="Calibri"/>
      <family val="2"/>
      <scheme val="minor"/>
    </font>
    <font>
      <u/>
      <sz val="12"/>
      <color theme="10"/>
      <name val="Calibri"/>
      <family val="2"/>
      <scheme val="minor"/>
    </font>
    <font>
      <sz val="12"/>
      <color rgb="FF9C0006"/>
      <name val="Whitney-Book"/>
      <family val="2"/>
    </font>
    <font>
      <sz val="12"/>
      <color rgb="FF3F3F76"/>
      <name val="Whitney-Book"/>
      <family val="2"/>
    </font>
    <font>
      <i/>
      <u/>
      <sz val="12"/>
      <color theme="10"/>
      <name val="Calibri"/>
      <family val="2"/>
      <scheme val="minor"/>
    </font>
    <font>
      <i/>
      <sz val="12"/>
      <color theme="1"/>
      <name val="Calibri"/>
      <family val="2"/>
      <scheme val="minor"/>
    </font>
    <font>
      <sz val="12"/>
      <color rgb="FF9C5700"/>
      <name val="Calibri"/>
      <family val="2"/>
      <scheme val="minor"/>
    </font>
    <font>
      <sz val="12"/>
      <color rgb="FFFF0000"/>
      <name val="Calibri"/>
      <family val="2"/>
      <scheme val="minor"/>
    </font>
    <font>
      <b/>
      <sz val="16"/>
      <color rgb="FF9C0006"/>
      <name val="Whitney-Book"/>
    </font>
    <font>
      <sz val="12"/>
      <color theme="1"/>
      <name val="Calibri"/>
      <family val="2"/>
      <scheme val="minor"/>
    </font>
    <font>
      <sz val="12"/>
      <color rgb="FF006100"/>
      <name val="Calibri"/>
      <family val="2"/>
      <scheme val="minor"/>
    </font>
    <font>
      <b/>
      <sz val="12"/>
      <color rgb="FF3F3F76"/>
      <name val="Calibri"/>
      <family val="2"/>
      <scheme val="minor"/>
    </font>
    <font>
      <b/>
      <sz val="12"/>
      <color rgb="FF0061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C7CE"/>
      </patternFill>
    </fill>
    <fill>
      <patternFill patternType="solid">
        <fgColor rgb="FFFFCC99"/>
      </patternFill>
    </fill>
    <fill>
      <patternFill patternType="solid">
        <fgColor rgb="FFFFEB9C"/>
      </patternFill>
    </fill>
    <fill>
      <patternFill patternType="solid">
        <fgColor rgb="FFC6EFCE"/>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style="medium">
        <color theme="5"/>
      </right>
      <top style="medium">
        <color theme="5"/>
      </top>
      <bottom style="medium">
        <color theme="5"/>
      </bottom>
      <diagonal/>
    </border>
    <border>
      <left style="thin">
        <color indexed="64"/>
      </left>
      <right style="double">
        <color indexed="64"/>
      </right>
      <top style="thin">
        <color indexed="64"/>
      </top>
      <bottom style="thin">
        <color indexed="64"/>
      </bottom>
      <diagonal/>
    </border>
    <border>
      <left style="thin">
        <color theme="5"/>
      </left>
      <right/>
      <top/>
      <bottom/>
      <diagonal/>
    </border>
    <border>
      <left/>
      <right/>
      <top style="thin">
        <color theme="5"/>
      </top>
      <bottom/>
      <diagonal/>
    </border>
    <border>
      <left style="thin">
        <color indexed="64"/>
      </left>
      <right style="thin">
        <color theme="5"/>
      </right>
      <top style="thin">
        <color theme="5"/>
      </top>
      <bottom/>
      <diagonal/>
    </border>
    <border>
      <left/>
      <right style="thin">
        <color theme="5"/>
      </right>
      <top/>
      <bottom/>
      <diagonal/>
    </border>
    <border>
      <left style="thin">
        <color theme="5"/>
      </left>
      <right style="thin">
        <color theme="5"/>
      </right>
      <top style="thin">
        <color theme="5"/>
      </top>
      <bottom style="thin">
        <color theme="5"/>
      </bottom>
      <diagonal/>
    </border>
    <border>
      <left style="thin">
        <color theme="5"/>
      </left>
      <right style="thin">
        <color indexed="64"/>
      </right>
      <top style="thin">
        <color theme="5"/>
      </top>
      <bottom/>
      <diagonal/>
    </border>
  </borders>
  <cellStyleXfs count="7">
    <xf numFmtId="0" fontId="0" fillId="0" borderId="0"/>
    <xf numFmtId="0" fontId="7" fillId="0" borderId="0"/>
    <xf numFmtId="0" fontId="8" fillId="4" borderId="0"/>
    <xf numFmtId="0" fontId="9" fillId="5" borderId="24"/>
    <xf numFmtId="0" fontId="12" fillId="6" borderId="0"/>
    <xf numFmtId="43" fontId="15" fillId="0" borderId="0" applyFont="0" applyFill="0" applyBorder="0" applyAlignment="0" applyProtection="0"/>
    <xf numFmtId="0" fontId="16" fillId="7" borderId="0" applyNumberFormat="0" applyBorder="0" applyAlignment="0" applyProtection="0"/>
  </cellStyleXfs>
  <cellXfs count="176">
    <xf numFmtId="0" fontId="0" fillId="0" borderId="0" xfId="0"/>
    <xf numFmtId="0" fontId="1" fillId="0" borderId="0" xfId="0" applyFont="1"/>
    <xf numFmtId="0" fontId="1" fillId="0" borderId="0" xfId="0" applyFont="1" applyAlignment="1">
      <alignment horizontal="center" vertical="center"/>
    </xf>
    <xf numFmtId="0" fontId="0" fillId="0" borderId="0" xfId="0" applyProtection="1">
      <protection locked="0"/>
    </xf>
    <xf numFmtId="0" fontId="2" fillId="0" borderId="0" xfId="0" applyFont="1"/>
    <xf numFmtId="1" fontId="1" fillId="0" borderId="0" xfId="0" applyNumberFormat="1" applyFont="1" applyAlignment="1">
      <alignment horizontal="center"/>
    </xf>
    <xf numFmtId="1" fontId="1" fillId="0" borderId="0" xfId="0" applyNumberFormat="1" applyFont="1" applyAlignment="1">
      <alignment horizontal="center" vertical="center"/>
    </xf>
    <xf numFmtId="0" fontId="0" fillId="0" borderId="9" xfId="0" applyBorder="1" applyAlignment="1">
      <alignment horizontal="center" vertical="center" wrapText="1"/>
    </xf>
    <xf numFmtId="0" fontId="4" fillId="0" borderId="0" xfId="0" applyFont="1"/>
    <xf numFmtId="0" fontId="1" fillId="0" borderId="0" xfId="0" applyFont="1" applyAlignment="1">
      <alignment vertical="center"/>
    </xf>
    <xf numFmtId="0" fontId="4" fillId="0" borderId="0" xfId="0" applyFont="1" applyProtection="1">
      <protection locked="0"/>
    </xf>
    <xf numFmtId="0" fontId="0" fillId="2" borderId="9" xfId="0" applyFill="1" applyBorder="1" applyAlignment="1" applyProtection="1">
      <alignment horizontal="center" vertical="center"/>
      <protection locked="0"/>
    </xf>
    <xf numFmtId="0" fontId="0" fillId="0" borderId="0" xfId="0" applyAlignment="1">
      <alignment vertical="center" wrapText="1"/>
    </xf>
    <xf numFmtId="0" fontId="0" fillId="0" borderId="13" xfId="0" applyBorder="1" applyAlignment="1">
      <alignment horizontal="center" vertical="center" wrapText="1"/>
    </xf>
    <xf numFmtId="0" fontId="0" fillId="2" borderId="1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16" xfId="0"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14" xfId="0" applyBorder="1" applyAlignment="1">
      <alignment horizontal="left" vertical="center"/>
    </xf>
    <xf numFmtId="0" fontId="0" fillId="0" borderId="19" xfId="0" applyBorder="1" applyAlignment="1">
      <alignment vertical="center"/>
    </xf>
    <xf numFmtId="0" fontId="0" fillId="0" borderId="15" xfId="0" applyBorder="1" applyAlignment="1">
      <alignment vertical="center"/>
    </xf>
    <xf numFmtId="1" fontId="0" fillId="2" borderId="9" xfId="0" applyNumberFormat="1" applyFill="1" applyBorder="1" applyAlignment="1">
      <alignment horizontal="center" vertical="center"/>
    </xf>
    <xf numFmtId="1" fontId="0" fillId="2" borderId="13" xfId="0" applyNumberFormat="1" applyFill="1" applyBorder="1" applyAlignment="1">
      <alignment horizontal="center" vertical="center"/>
    </xf>
    <xf numFmtId="1" fontId="0" fillId="2" borderId="16" xfId="0" applyNumberFormat="1" applyFill="1" applyBorder="1" applyAlignment="1">
      <alignment horizontal="center" vertical="center"/>
    </xf>
    <xf numFmtId="0" fontId="1" fillId="0" borderId="0" xfId="0" applyFont="1" applyProtection="1">
      <protection locked="0"/>
    </xf>
    <xf numFmtId="0" fontId="2" fillId="0" borderId="0" xfId="0" applyFont="1" applyProtection="1">
      <protection locked="0"/>
    </xf>
    <xf numFmtId="1" fontId="1" fillId="0" borderId="0" xfId="0" applyNumberFormat="1" applyFont="1" applyAlignment="1" applyProtection="1">
      <alignment horizontal="center"/>
      <protection locked="0"/>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1" fillId="0" borderId="15" xfId="0" applyFont="1" applyBorder="1" applyAlignment="1">
      <alignment horizontal="center"/>
    </xf>
    <xf numFmtId="14" fontId="6" fillId="0" borderId="13"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14" fontId="0" fillId="0" borderId="13" xfId="0" applyNumberFormat="1" applyBorder="1" applyAlignment="1">
      <alignment horizontal="center" vertical="center" wrapText="1"/>
    </xf>
    <xf numFmtId="14" fontId="0" fillId="0" borderId="9" xfId="0" applyNumberFormat="1" applyBorder="1" applyAlignment="1">
      <alignment horizontal="center" vertical="center" wrapText="1"/>
    </xf>
    <xf numFmtId="0" fontId="0" fillId="0" borderId="0" xfId="0" quotePrefix="1"/>
    <xf numFmtId="0" fontId="0" fillId="0" borderId="0" xfId="0" applyAlignment="1">
      <alignment vertical="center"/>
    </xf>
    <xf numFmtId="0" fontId="1" fillId="0" borderId="3" xfId="0" applyFont="1" applyBorder="1" applyAlignment="1">
      <alignment vertical="center"/>
    </xf>
    <xf numFmtId="0" fontId="1" fillId="0" borderId="9" xfId="0" applyFont="1" applyBorder="1" applyAlignment="1">
      <alignment vertical="center"/>
    </xf>
    <xf numFmtId="0" fontId="6" fillId="0" borderId="9"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16" xfId="0" applyFont="1" applyBorder="1" applyAlignment="1">
      <alignment horizontal="left" vertical="center" wrapText="1" indent="1"/>
    </xf>
    <xf numFmtId="0" fontId="6" fillId="0" borderId="9" xfId="0" applyFont="1" applyBorder="1" applyAlignment="1">
      <alignment horizontal="left" vertical="center" indent="1"/>
    </xf>
    <xf numFmtId="0" fontId="0" fillId="0" borderId="4" xfId="0" applyBorder="1"/>
    <xf numFmtId="0" fontId="0" fillId="0" borderId="6" xfId="0" applyBorder="1" applyProtection="1">
      <protection locked="0"/>
    </xf>
    <xf numFmtId="0" fontId="0" fillId="0" borderId="9" xfId="0" applyBorder="1" applyAlignment="1">
      <alignment horizontal="left" vertical="center" wrapText="1" indent="1"/>
    </xf>
    <xf numFmtId="0" fontId="7" fillId="0" borderId="0" xfId="1" applyAlignment="1">
      <alignment horizontal="center" vertical="center"/>
    </xf>
    <xf numFmtId="0" fontId="0" fillId="0" borderId="0" xfId="0" applyAlignment="1">
      <alignment horizontal="center" vertical="center"/>
    </xf>
    <xf numFmtId="16" fontId="10" fillId="0" borderId="0" xfId="1" quotePrefix="1" applyNumberFormat="1" applyFont="1" applyAlignment="1">
      <alignment horizontal="center" vertical="center"/>
    </xf>
    <xf numFmtId="0" fontId="10" fillId="0" borderId="0" xfId="1" quotePrefix="1" applyFont="1" applyAlignment="1">
      <alignment horizontal="center" vertical="center"/>
    </xf>
    <xf numFmtId="0" fontId="11" fillId="0" borderId="0" xfId="0" applyFont="1" applyAlignment="1">
      <alignment horizontal="left" vertical="center" indent="2"/>
    </xf>
    <xf numFmtId="0" fontId="1" fillId="0" borderId="13" xfId="0" applyFont="1" applyBorder="1" applyAlignment="1">
      <alignment horizontal="left" vertical="center" wrapText="1" indent="1"/>
    </xf>
    <xf numFmtId="0" fontId="1" fillId="0" borderId="16" xfId="0" applyFont="1" applyBorder="1" applyAlignment="1">
      <alignment horizontal="left" vertical="center" wrapText="1" indent="1"/>
    </xf>
    <xf numFmtId="0" fontId="0" fillId="0" borderId="13" xfId="0" applyBorder="1" applyAlignment="1">
      <alignment horizontal="left" vertical="center" wrapText="1" indent="1"/>
    </xf>
    <xf numFmtId="0" fontId="0" fillId="0" borderId="16" xfId="0" applyBorder="1" applyAlignment="1">
      <alignment horizontal="left" vertical="center" wrapText="1" indent="2"/>
    </xf>
    <xf numFmtId="0" fontId="0" fillId="0" borderId="9" xfId="0" applyBorder="1" applyAlignment="1">
      <alignment horizontal="left" vertical="center" wrapText="1" indent="2"/>
    </xf>
    <xf numFmtId="0" fontId="1" fillId="0" borderId="9" xfId="0" applyFont="1" applyBorder="1" applyAlignment="1">
      <alignment horizontal="left" vertical="center" wrapText="1" indent="1"/>
    </xf>
    <xf numFmtId="0" fontId="1" fillId="0" borderId="13" xfId="0" applyFont="1" applyBorder="1" applyAlignment="1" applyProtection="1">
      <alignment horizontal="left" vertical="center" wrapText="1" indent="1"/>
      <protection locked="0"/>
    </xf>
    <xf numFmtId="0" fontId="1" fillId="0" borderId="16" xfId="0" applyFont="1" applyBorder="1" applyAlignment="1" applyProtection="1">
      <alignment horizontal="left" vertical="center" wrapText="1" indent="1"/>
      <protection locked="0"/>
    </xf>
    <xf numFmtId="0" fontId="0" fillId="0" borderId="0" xfId="0" applyAlignment="1">
      <alignment horizontal="left" vertical="center" wrapText="1" indent="1"/>
    </xf>
    <xf numFmtId="0" fontId="0" fillId="0" borderId="0" xfId="0" applyAlignment="1" applyProtection="1">
      <alignment horizontal="left" vertical="center" indent="5"/>
      <protection locked="0"/>
    </xf>
    <xf numFmtId="0" fontId="0" fillId="0" borderId="9" xfId="0" applyBorder="1" applyAlignment="1">
      <alignment horizontal="left" vertical="center" wrapText="1" indent="5"/>
    </xf>
    <xf numFmtId="0" fontId="0" fillId="0" borderId="13" xfId="0" applyBorder="1" applyAlignment="1">
      <alignment horizontal="left" vertical="center" wrapText="1" indent="5"/>
    </xf>
    <xf numFmtId="0" fontId="0" fillId="0" borderId="16" xfId="0" applyBorder="1" applyAlignment="1">
      <alignment horizontal="left" vertical="center" wrapText="1" indent="5"/>
    </xf>
    <xf numFmtId="0" fontId="0" fillId="0" borderId="0" xfId="0" applyAlignment="1">
      <alignment horizontal="left" vertical="center" wrapText="1" indent="5"/>
    </xf>
    <xf numFmtId="1" fontId="0" fillId="2" borderId="9" xfId="0" applyNumberFormat="1" applyFill="1" applyBorder="1" applyAlignment="1">
      <alignment horizontal="left" vertical="center" indent="5"/>
    </xf>
    <xf numFmtId="1" fontId="0" fillId="2" borderId="13" xfId="0" applyNumberFormat="1" applyFill="1" applyBorder="1" applyAlignment="1">
      <alignment horizontal="left" vertical="center" indent="5"/>
    </xf>
    <xf numFmtId="1" fontId="0" fillId="2" borderId="16" xfId="0" applyNumberFormat="1" applyFill="1" applyBorder="1" applyAlignment="1">
      <alignment horizontal="left" vertical="center" indent="5"/>
    </xf>
    <xf numFmtId="1" fontId="1" fillId="0" borderId="0" xfId="0" applyNumberFormat="1" applyFont="1" applyAlignment="1">
      <alignment horizontal="left" vertical="center" indent="5"/>
    </xf>
    <xf numFmtId="14" fontId="0" fillId="0" borderId="13" xfId="0" applyNumberFormat="1" applyBorder="1" applyAlignment="1">
      <alignment horizontal="left" vertical="center" wrapText="1" indent="5"/>
    </xf>
    <xf numFmtId="14" fontId="0" fillId="0" borderId="9" xfId="0" applyNumberFormat="1" applyBorder="1" applyAlignment="1">
      <alignment horizontal="left" vertical="center" wrapText="1" indent="5"/>
    </xf>
    <xf numFmtId="0" fontId="0" fillId="2" borderId="9" xfId="0" applyFill="1" applyBorder="1" applyAlignment="1">
      <alignment horizontal="left" vertical="center" indent="5"/>
    </xf>
    <xf numFmtId="0" fontId="0" fillId="2" borderId="13" xfId="0" applyFill="1" applyBorder="1" applyAlignment="1">
      <alignment horizontal="left" vertical="center" indent="5"/>
    </xf>
    <xf numFmtId="0" fontId="0" fillId="2" borderId="16" xfId="0" applyFill="1" applyBorder="1" applyAlignment="1">
      <alignment horizontal="left" vertical="center" indent="5"/>
    </xf>
    <xf numFmtId="0" fontId="1" fillId="0" borderId="0" xfId="0" applyFont="1" applyAlignment="1">
      <alignment horizontal="left" vertical="center" indent="5"/>
    </xf>
    <xf numFmtId="0" fontId="1" fillId="0" borderId="13" xfId="0" applyFont="1" applyBorder="1" applyAlignment="1">
      <alignment horizontal="left" vertical="center" wrapText="1" indent="5"/>
    </xf>
    <xf numFmtId="0" fontId="1" fillId="0" borderId="16" xfId="0" applyFont="1" applyBorder="1" applyAlignment="1">
      <alignment horizontal="left" vertical="center" wrapText="1" indent="5"/>
    </xf>
    <xf numFmtId="0" fontId="0" fillId="0" borderId="10" xfId="0" applyBorder="1" applyAlignment="1" applyProtection="1">
      <alignment horizontal="left" vertical="center" indent="5"/>
      <protection locked="0"/>
    </xf>
    <xf numFmtId="0" fontId="8" fillId="4" borderId="0" xfId="2" applyAlignment="1">
      <alignment horizontal="center" vertical="center"/>
    </xf>
    <xf numFmtId="165" fontId="0" fillId="0" borderId="0" xfId="0" applyNumberFormat="1"/>
    <xf numFmtId="166" fontId="0" fillId="0" borderId="0" xfId="0" applyNumberFormat="1"/>
    <xf numFmtId="0" fontId="0" fillId="0" borderId="32" xfId="0" applyBorder="1"/>
    <xf numFmtId="0" fontId="0" fillId="0" borderId="33" xfId="0" quotePrefix="1" applyBorder="1"/>
    <xf numFmtId="0" fontId="0" fillId="0" borderId="33" xfId="0" applyBorder="1"/>
    <xf numFmtId="0" fontId="9" fillId="5" borderId="33" xfId="3" applyBorder="1"/>
    <xf numFmtId="0" fontId="0" fillId="0" borderId="35" xfId="0" applyBorder="1" applyAlignment="1">
      <alignment horizontal="left" indent="1"/>
    </xf>
    <xf numFmtId="0" fontId="9" fillId="5" borderId="36" xfId="3" applyBorder="1"/>
    <xf numFmtId="0" fontId="17" fillId="5" borderId="24" xfId="3" applyFont="1" applyAlignment="1">
      <alignment horizontal="center" vertical="center"/>
    </xf>
    <xf numFmtId="0" fontId="18" fillId="7" borderId="36" xfId="6" applyFont="1" applyBorder="1" applyAlignment="1">
      <alignment horizontal="center" vertical="center"/>
    </xf>
    <xf numFmtId="164" fontId="18" fillId="7" borderId="36" xfId="6" applyNumberFormat="1" applyFont="1" applyBorder="1" applyAlignment="1">
      <alignment horizontal="center" vertical="center"/>
    </xf>
    <xf numFmtId="167" fontId="0" fillId="0" borderId="1" xfId="5" applyNumberFormat="1" applyFont="1" applyBorder="1" applyAlignment="1" applyProtection="1">
      <alignment horizontal="center" vertical="center"/>
      <protection locked="0"/>
    </xf>
    <xf numFmtId="167" fontId="0" fillId="0" borderId="2" xfId="5" applyNumberFormat="1" applyFont="1" applyBorder="1" applyAlignment="1" applyProtection="1">
      <alignment horizontal="center" vertical="center"/>
      <protection locked="0"/>
    </xf>
    <xf numFmtId="167" fontId="0" fillId="0" borderId="3" xfId="5" applyNumberFormat="1" applyFont="1" applyBorder="1" applyAlignment="1" applyProtection="1">
      <alignment horizontal="center" vertical="center"/>
      <protection locked="0"/>
    </xf>
    <xf numFmtId="167" fontId="0" fillId="0" borderId="14" xfId="5" applyNumberFormat="1" applyFont="1" applyBorder="1" applyAlignment="1" applyProtection="1">
      <alignment horizontal="center" vertical="center"/>
      <protection locked="0"/>
    </xf>
    <xf numFmtId="167" fontId="0" fillId="0" borderId="0" xfId="5" applyNumberFormat="1" applyFont="1" applyAlignment="1" applyProtection="1">
      <alignment horizontal="center" vertical="center"/>
      <protection locked="0"/>
    </xf>
    <xf numFmtId="167" fontId="0" fillId="0" borderId="17" xfId="5" applyNumberFormat="1" applyFont="1" applyBorder="1" applyAlignment="1" applyProtection="1">
      <alignment horizontal="center" vertical="center"/>
      <protection locked="0"/>
    </xf>
    <xf numFmtId="167" fontId="0" fillId="0" borderId="4" xfId="5" applyNumberFormat="1" applyFont="1" applyBorder="1" applyAlignment="1" applyProtection="1">
      <alignment horizontal="center" vertical="center"/>
      <protection locked="0"/>
    </xf>
    <xf numFmtId="167" fontId="0" fillId="0" borderId="5" xfId="5" applyNumberFormat="1" applyFont="1" applyBorder="1" applyAlignment="1" applyProtection="1">
      <alignment horizontal="center" vertical="center"/>
      <protection locked="0"/>
    </xf>
    <xf numFmtId="167" fontId="0" fillId="0" borderId="19" xfId="5" applyNumberFormat="1" applyFont="1" applyBorder="1" applyAlignment="1" applyProtection="1">
      <alignment horizontal="center" vertical="center"/>
      <protection locked="0"/>
    </xf>
    <xf numFmtId="167" fontId="0" fillId="0" borderId="6" xfId="5" applyNumberFormat="1" applyFont="1" applyBorder="1" applyAlignment="1" applyProtection="1">
      <alignment horizontal="center" vertical="center"/>
      <protection locked="0"/>
    </xf>
    <xf numFmtId="167" fontId="0" fillId="0" borderId="7" xfId="5" applyNumberFormat="1" applyFont="1" applyBorder="1" applyAlignment="1" applyProtection="1">
      <alignment horizontal="center" vertical="center"/>
      <protection locked="0"/>
    </xf>
    <xf numFmtId="167" fontId="0" fillId="0" borderId="8" xfId="5" applyNumberFormat="1" applyFont="1" applyBorder="1" applyAlignment="1" applyProtection="1">
      <alignment horizontal="center" vertical="center"/>
      <protection locked="0"/>
    </xf>
    <xf numFmtId="167" fontId="0" fillId="0" borderId="15" xfId="5" applyNumberFormat="1" applyFont="1" applyBorder="1" applyAlignment="1" applyProtection="1">
      <alignment horizontal="center" vertical="center"/>
      <protection locked="0"/>
    </xf>
    <xf numFmtId="167" fontId="0" fillId="0" borderId="22" xfId="5" applyNumberFormat="1" applyFont="1" applyBorder="1" applyAlignment="1" applyProtection="1">
      <alignment horizontal="center" vertical="center"/>
      <protection locked="0"/>
    </xf>
    <xf numFmtId="167" fontId="1" fillId="0" borderId="7" xfId="5" applyNumberFormat="1" applyFont="1" applyBorder="1" applyAlignment="1">
      <alignment horizontal="center"/>
    </xf>
    <xf numFmtId="167" fontId="1" fillId="0" borderId="8" xfId="5" applyNumberFormat="1" applyFont="1" applyBorder="1" applyAlignment="1">
      <alignment horizontal="center"/>
    </xf>
    <xf numFmtId="167" fontId="0" fillId="2" borderId="0" xfId="5" applyNumberFormat="1" applyFont="1" applyFill="1" applyAlignment="1">
      <alignment horizontal="center" vertical="center"/>
    </xf>
    <xf numFmtId="167" fontId="0" fillId="0" borderId="5" xfId="5" applyNumberFormat="1" applyFont="1" applyBorder="1" applyProtection="1">
      <protection locked="0"/>
    </xf>
    <xf numFmtId="167" fontId="0" fillId="2" borderId="7" xfId="5" applyNumberFormat="1" applyFont="1" applyFill="1" applyBorder="1" applyAlignment="1">
      <alignment horizontal="center" vertical="center"/>
    </xf>
    <xf numFmtId="167" fontId="0" fillId="0" borderId="8" xfId="5" applyNumberFormat="1" applyFont="1" applyBorder="1" applyProtection="1">
      <protection locked="0"/>
    </xf>
    <xf numFmtId="167" fontId="1" fillId="0" borderId="0" xfId="5" applyNumberFormat="1" applyFont="1" applyAlignment="1">
      <alignment horizontal="center"/>
    </xf>
    <xf numFmtId="167" fontId="0" fillId="0" borderId="18" xfId="5" applyNumberFormat="1" applyFont="1" applyBorder="1" applyAlignment="1" applyProtection="1">
      <alignment horizontal="center" vertical="center"/>
      <protection locked="0"/>
    </xf>
    <xf numFmtId="167" fontId="0" fillId="0" borderId="20" xfId="5" applyNumberFormat="1" applyFont="1" applyBorder="1" applyAlignment="1" applyProtection="1">
      <alignment horizontal="center" vertical="center"/>
      <protection locked="0"/>
    </xf>
    <xf numFmtId="167" fontId="0" fillId="0" borderId="21" xfId="5" applyNumberFormat="1" applyFont="1" applyBorder="1" applyAlignment="1" applyProtection="1">
      <alignment horizontal="center" vertical="center"/>
      <protection locked="0"/>
    </xf>
    <xf numFmtId="167" fontId="0" fillId="2" borderId="9" xfId="5" applyNumberFormat="1" applyFont="1" applyFill="1" applyBorder="1" applyAlignment="1">
      <alignment horizontal="center" vertical="center"/>
    </xf>
    <xf numFmtId="167" fontId="0" fillId="2" borderId="13" xfId="5" applyNumberFormat="1" applyFont="1" applyFill="1" applyBorder="1" applyAlignment="1">
      <alignment horizontal="center" vertical="center"/>
    </xf>
    <xf numFmtId="167" fontId="0" fillId="2" borderId="16" xfId="5" applyNumberFormat="1" applyFont="1" applyFill="1" applyBorder="1" applyAlignment="1">
      <alignment horizontal="center" vertical="center"/>
    </xf>
    <xf numFmtId="167" fontId="1" fillId="0" borderId="0" xfId="5" applyNumberFormat="1" applyFont="1" applyAlignment="1">
      <alignment horizontal="center" vertical="center"/>
    </xf>
    <xf numFmtId="167" fontId="0" fillId="2" borderId="9" xfId="5" applyNumberFormat="1" applyFont="1" applyFill="1" applyBorder="1" applyAlignment="1" applyProtection="1">
      <alignment horizontal="center" vertical="center"/>
      <protection locked="0"/>
    </xf>
    <xf numFmtId="167" fontId="0" fillId="2" borderId="13" xfId="5" applyNumberFormat="1" applyFont="1" applyFill="1" applyBorder="1" applyAlignment="1" applyProtection="1">
      <alignment horizontal="center" vertical="center"/>
      <protection locked="0"/>
    </xf>
    <xf numFmtId="167" fontId="0" fillId="2" borderId="16" xfId="5" applyNumberFormat="1" applyFont="1" applyFill="1" applyBorder="1" applyAlignment="1" applyProtection="1">
      <alignment horizontal="center" vertical="center"/>
      <protection locked="0"/>
    </xf>
    <xf numFmtId="0" fontId="0" fillId="0" borderId="0" xfId="0" applyAlignment="1">
      <alignment horizontal="center"/>
    </xf>
    <xf numFmtId="0" fontId="0" fillId="0" borderId="0" xfId="0"/>
    <xf numFmtId="0" fontId="18" fillId="7" borderId="37" xfId="6" applyFont="1" applyBorder="1" applyAlignment="1">
      <alignment horizontal="center"/>
    </xf>
    <xf numFmtId="0" fontId="18" fillId="7" borderId="34" xfId="6" applyFont="1" applyBorder="1" applyAlignment="1">
      <alignment horizontal="center"/>
    </xf>
    <xf numFmtId="0" fontId="13" fillId="6" borderId="30" xfId="4" applyFont="1" applyBorder="1" applyAlignment="1">
      <alignment horizontal="center"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 fillId="0" borderId="9" xfId="0" applyFont="1" applyBorder="1" applyAlignment="1">
      <alignment horizontal="center" vertical="center"/>
    </xf>
    <xf numFmtId="0" fontId="0" fillId="0" borderId="19" xfId="0" applyBorder="1"/>
    <xf numFmtId="0" fontId="0" fillId="0" borderId="15" xfId="0" applyBorder="1"/>
    <xf numFmtId="0" fontId="8" fillId="4" borderId="0" xfId="2" applyAlignment="1">
      <alignment horizontal="center" vertical="center"/>
    </xf>
    <xf numFmtId="0" fontId="0" fillId="0" borderId="0" xfId="0" applyProtection="1">
      <protection locked="0"/>
    </xf>
    <xf numFmtId="0" fontId="5" fillId="0" borderId="9" xfId="0" applyFont="1" applyBorder="1" applyAlignment="1">
      <alignment horizontal="center"/>
    </xf>
    <xf numFmtId="0" fontId="0" fillId="0" borderId="12" xfId="0" applyBorder="1"/>
    <xf numFmtId="0" fontId="0" fillId="0" borderId="11" xfId="0" applyBorder="1"/>
    <xf numFmtId="0" fontId="5" fillId="0" borderId="16" xfId="0" applyFont="1" applyBorder="1" applyAlignment="1">
      <alignment horizontal="center"/>
    </xf>
    <xf numFmtId="0" fontId="1" fillId="0" borderId="15" xfId="0" applyFont="1" applyBorder="1" applyAlignment="1">
      <alignment horizontal="center"/>
    </xf>
    <xf numFmtId="0" fontId="0" fillId="0" borderId="7" xfId="0" applyBorder="1"/>
    <xf numFmtId="0" fontId="0" fillId="0" borderId="8" xfId="0" applyBorder="1"/>
    <xf numFmtId="0" fontId="1" fillId="0" borderId="31" xfId="0" applyFont="1" applyBorder="1" applyAlignment="1">
      <alignment horizontal="center"/>
    </xf>
    <xf numFmtId="0" fontId="0" fillId="0" borderId="23" xfId="0" applyBorder="1"/>
    <xf numFmtId="0" fontId="1" fillId="0" borderId="9" xfId="0" applyFont="1" applyBorder="1" applyAlignment="1">
      <alignment horizontal="center"/>
    </xf>
    <xf numFmtId="0" fontId="1" fillId="0" borderId="1" xfId="0" applyFont="1" applyBorder="1" applyAlignment="1">
      <alignment horizontal="center"/>
    </xf>
    <xf numFmtId="0" fontId="0" fillId="0" borderId="2" xfId="0" applyBorder="1"/>
    <xf numFmtId="0" fontId="1" fillId="0" borderId="16" xfId="0" applyFont="1" applyBorder="1" applyAlignment="1">
      <alignment horizontal="center"/>
    </xf>
    <xf numFmtId="0" fontId="1" fillId="0" borderId="18" xfId="0" applyFont="1" applyBorder="1" applyAlignment="1">
      <alignment horizontal="center"/>
    </xf>
    <xf numFmtId="0" fontId="0" fillId="0" borderId="3" xfId="0" applyBorder="1"/>
    <xf numFmtId="0" fontId="5" fillId="0" borderId="14" xfId="0" applyFont="1" applyBorder="1" applyAlignment="1">
      <alignment horizontal="center"/>
    </xf>
    <xf numFmtId="0" fontId="5" fillId="0" borderId="18" xfId="0" applyFont="1" applyBorder="1" applyAlignment="1">
      <alignment horizontal="center"/>
    </xf>
    <xf numFmtId="0" fontId="5" fillId="0" borderId="31" xfId="0" applyFont="1" applyBorder="1" applyAlignment="1">
      <alignment horizontal="center"/>
    </xf>
    <xf numFmtId="0" fontId="5" fillId="0" borderId="14" xfId="0" applyFont="1" applyBorder="1" applyAlignment="1" applyProtection="1">
      <alignment horizontal="center"/>
      <protection locked="0"/>
    </xf>
    <xf numFmtId="0" fontId="0" fillId="0" borderId="2" xfId="0" applyBorder="1" applyProtection="1">
      <protection locked="0"/>
    </xf>
    <xf numFmtId="0" fontId="0" fillId="0" borderId="3" xfId="0" applyBorder="1" applyProtection="1">
      <protection locked="0"/>
    </xf>
    <xf numFmtId="0" fontId="5" fillId="0" borderId="18" xfId="0" applyFont="1" applyBorder="1" applyAlignment="1" applyProtection="1">
      <alignment horizontal="center"/>
      <protection locked="0"/>
    </xf>
    <xf numFmtId="0" fontId="5" fillId="0" borderId="31" xfId="0" applyFont="1" applyBorder="1" applyAlignment="1" applyProtection="1">
      <alignment horizontal="center"/>
      <protection locked="0"/>
    </xf>
    <xf numFmtId="0" fontId="0" fillId="0" borderId="12" xfId="0" applyBorder="1" applyProtection="1">
      <protection locked="0"/>
    </xf>
    <xf numFmtId="0" fontId="0" fillId="0" borderId="23" xfId="0" applyBorder="1" applyProtection="1">
      <protection locked="0"/>
    </xf>
    <xf numFmtId="0" fontId="5" fillId="0" borderId="16" xfId="0" applyFont="1" applyBorder="1" applyAlignment="1" applyProtection="1">
      <alignment horizontal="center"/>
      <protection locked="0"/>
    </xf>
    <xf numFmtId="0" fontId="0" fillId="0" borderId="11" xfId="0" applyBorder="1" applyProtection="1">
      <protection locked="0"/>
    </xf>
    <xf numFmtId="0" fontId="14" fillId="4" borderId="9" xfId="2" applyFont="1" applyBorder="1" applyAlignment="1">
      <alignment horizontal="left" vertical="center" indent="5"/>
    </xf>
    <xf numFmtId="0" fontId="3" fillId="3" borderId="9" xfId="0" applyFont="1" applyFill="1" applyBorder="1" applyAlignment="1">
      <alignment horizontal="left" vertical="center" indent="5"/>
    </xf>
    <xf numFmtId="0" fontId="5" fillId="0" borderId="14" xfId="0" applyFont="1" applyBorder="1" applyAlignment="1">
      <alignment horizontal="left" vertical="center" indent="5"/>
    </xf>
    <xf numFmtId="0" fontId="5" fillId="0" borderId="18" xfId="0" applyFont="1" applyBorder="1" applyAlignment="1">
      <alignment horizontal="left" vertical="center" indent="5"/>
    </xf>
    <xf numFmtId="0" fontId="5" fillId="0" borderId="13" xfId="0" applyFont="1" applyBorder="1" applyAlignment="1">
      <alignment horizontal="left" vertical="center" indent="5"/>
    </xf>
    <xf numFmtId="0" fontId="5" fillId="0" borderId="16" xfId="0" applyFont="1" applyBorder="1" applyAlignment="1">
      <alignment horizontal="left" vertical="center" indent="5"/>
    </xf>
    <xf numFmtId="0" fontId="5" fillId="0" borderId="31" xfId="0" applyFont="1" applyBorder="1" applyAlignment="1">
      <alignment horizontal="left" vertical="center" indent="5"/>
    </xf>
    <xf numFmtId="0" fontId="5" fillId="0" borderId="13" xfId="0" applyFont="1" applyBorder="1" applyAlignment="1">
      <alignment horizontal="center"/>
    </xf>
  </cellXfs>
  <cellStyles count="7">
    <cellStyle name="Bad" xfId="2" builtinId="27"/>
    <cellStyle name="Comma" xfId="5" builtinId="3"/>
    <cellStyle name="Good" xfId="6" builtinId="26"/>
    <cellStyle name="Hyperlink" xfId="1" builtinId="8"/>
    <cellStyle name="Input" xfId="3" builtinId="20"/>
    <cellStyle name="Neutral" xfId="4" builtinId="28"/>
    <cellStyle name="Normal" xfId="0" builtinId="0"/>
  </cellStyles>
  <dxfs count="21">
    <dxf>
      <font>
        <color rgb="FF9C0006"/>
      </font>
      <fill>
        <patternFill>
          <bgColor rgb="FFFFC7CE"/>
        </patternFill>
      </fill>
    </dxf>
    <dxf>
      <font>
        <color theme="0" tint="-4.9989318521683403E-2"/>
      </font>
    </dxf>
    <dxf>
      <font>
        <color rgb="FF9C0006"/>
      </font>
      <fill>
        <patternFill>
          <bgColor rgb="FFFFC7CE"/>
        </patternFill>
      </fill>
    </dxf>
    <dxf>
      <font>
        <color theme="0" tint="-4.9989318521683403E-2"/>
      </font>
    </dxf>
    <dxf>
      <font>
        <color rgb="FF9C0006"/>
      </font>
      <fill>
        <patternFill>
          <bgColor rgb="FFFFC7CE"/>
        </patternFill>
      </fill>
    </dxf>
    <dxf>
      <font>
        <color rgb="FF9C0006"/>
      </font>
      <fill>
        <patternFill>
          <bgColor rgb="FFFFC7CE"/>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9C0006"/>
      </font>
      <fill>
        <patternFill>
          <bgColor rgb="FFFFC7CE"/>
        </patternFill>
      </fill>
    </dxf>
    <dxf>
      <font>
        <color rgb="FF9C0006"/>
      </font>
      <fill>
        <patternFill>
          <bgColor rgb="FFFFC7CE"/>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alignment horizontal="general" vertical="center"/>
    </dxf>
    <dxf>
      <alignment horizontal="general"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10" totalsRowShown="0">
  <autoFilter ref="A1:A10" xr:uid="{00000000-0009-0000-0100-000001000000}"/>
  <tableColumns count="1">
    <tableColumn id="1" xr3:uid="{00000000-0010-0000-0000-000001000000}" name="KEEL"/>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9" totalsRowShown="0" dataDxfId="20">
  <autoFilter ref="A1:A9" xr:uid="{00000000-0009-0000-0100-000002000000}"/>
  <tableColumns count="1">
    <tableColumn id="1" xr3:uid="{00000000-0010-0000-0100-000001000000}" name="Seos" dataDxfId="19"/>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G21"/>
  <sheetViews>
    <sheetView tabSelected="1" zoomScale="190" zoomScaleNormal="190" workbookViewId="0">
      <selection activeCell="C3" sqref="C3"/>
    </sheetView>
  </sheetViews>
  <sheetFormatPr baseColWidth="10" defaultColWidth="10.6640625" defaultRowHeight="16"/>
  <cols>
    <col min="1" max="1" width="11.1640625" customWidth="1"/>
    <col min="2" max="2" width="39.83203125" customWidth="1"/>
    <col min="3" max="3" width="43.5" customWidth="1"/>
    <col min="4" max="4" width="17.5" customWidth="1"/>
  </cols>
  <sheetData>
    <row r="1" spans="1:7">
      <c r="B1" s="126" t="s">
        <v>0</v>
      </c>
      <c r="C1" s="127"/>
      <c r="D1" s="92" t="s">
        <v>28</v>
      </c>
    </row>
    <row r="2" spans="1:7" ht="4" customHeight="1">
      <c r="F2" s="40"/>
    </row>
    <row r="3" spans="1:7" ht="17">
      <c r="B3" s="64" t="str">
        <f>IF(Language="Eesti keel", "Majandusüksuse nimi:",IF(Language="Русский язык", "Предприятие:","Entity:"))</f>
        <v>Majandusüksuse nimi:</v>
      </c>
      <c r="C3" s="93" t="str">
        <f>_xlfn.XLOOKUP("companies__name",var!$A:$A,var!$C:$C)</f>
        <v>RTS Infra Eesti OÜ</v>
      </c>
      <c r="D3" s="64" t="str">
        <f>IF(Language="Eesti keel", "Registrikood:",IF(Language="Русский язык", "Код реестра:","Registry Code:"))</f>
        <v>Registrikood:</v>
      </c>
      <c r="E3" s="128" t="str">
        <f>_xlfn.XLOOKUP("companies__regcode",var!$A:$A,var!$C:$C)</f>
        <v>16328599</v>
      </c>
      <c r="F3" s="129"/>
      <c r="G3" s="86"/>
    </row>
    <row r="4" spans="1:7" ht="3" customHeight="1">
      <c r="E4" s="88"/>
      <c r="F4" s="87"/>
    </row>
    <row r="5" spans="1:7" ht="43" customHeight="1">
      <c r="B5" s="64" t="str">
        <f>IF(Language="Eesti keel", "Kliendi poolne isik, kes ankeeti täitis:",IF(Language="Русский язык", "Лицо со стороны клиента, заполнившее анкету:","Full name and surname of the client representive (contact-person) who completed the questionnaire:"))</f>
        <v>Kliendi poolne isik, kes ankeeti täitis:</v>
      </c>
      <c r="C5" s="91"/>
      <c r="D5" s="86"/>
      <c r="F5" s="40"/>
    </row>
    <row r="6" spans="1:7" ht="3" customHeight="1">
      <c r="C6" s="88"/>
      <c r="F6" s="40"/>
    </row>
    <row r="7" spans="1:7">
      <c r="B7" s="90" t="str">
        <f>IF(Language="Eesti keel", "Ankeedi täitmise kuupäev:",IF(Language="Русский язык", "Дата заполнения анкеты:","Date of completion of the questionnaire:"))</f>
        <v>Ankeedi täitmise kuupäev:</v>
      </c>
      <c r="C7" s="89"/>
      <c r="D7" s="86"/>
      <c r="F7" s="40"/>
    </row>
    <row r="8" spans="1:7">
      <c r="C8" s="88"/>
      <c r="F8" s="40"/>
    </row>
    <row r="9" spans="1:7">
      <c r="F9" s="40"/>
    </row>
    <row r="10" spans="1:7" ht="17" customHeight="1">
      <c r="A10" s="1" t="str">
        <f>IF(Language="Eesti keel", "Juhend faili kasutamiseks",IF(Language="Русский язык", "Руководство по использованию файла","Instructions for using the file"))</f>
        <v>Juhend faili kasutamiseks</v>
      </c>
    </row>
    <row r="11" spans="1:7">
      <c r="A11" s="1"/>
    </row>
    <row r="12" spans="1:7">
      <c r="A12" s="2" t="str">
        <f>IF(Language="Eesti keel", "Jrk nr",IF(Language="Русский язык", "№","№"))</f>
        <v>Jrk nr</v>
      </c>
      <c r="B12" s="1" t="str">
        <f>IF(Language="Eesti keel", "Tööleht",IF(Language="Русский язык", "Закладка","Sheet"))</f>
        <v>Tööleht</v>
      </c>
      <c r="C12" s="1" t="str">
        <f>IF(Language="Eesti keel", "Selgitus",IF(Language="Русский язык", "Пояснение","Explanation"))</f>
        <v>Selgitus</v>
      </c>
    </row>
    <row r="13" spans="1:7" ht="18" customHeight="1">
      <c r="A13" s="51">
        <v>1</v>
      </c>
      <c r="B13" t="str">
        <f>IF(Language="Eesti keel", "Seotud isikud",IF(Language="Русский язык", "Связанные стороны","Related Parties"))</f>
        <v>Seotud isikud</v>
      </c>
      <c r="C13" s="41" t="str">
        <f>IF(Language="Eesti keel", "Sisestada tabelisse kõik teadaolevad seotud osapooled ning valida rippmenüüst nende seos ettevõttega",IF(Language="Русский язык", "Внесите данные по всем известным связанным сторонам и их связи с предприятием.","Enter all known related parties in the table and select their relationship with the company from the drop-down menu."))</f>
        <v>Sisestada tabelisse kõik teadaolevad seotud osapooled ning valida rippmenüüst nende seos ettevõttega</v>
      </c>
    </row>
    <row r="14" spans="1:7" ht="18" customHeight="1">
      <c r="A14" s="52">
        <v>2</v>
      </c>
      <c r="B14" t="str">
        <f>IF(Language="Eesti keel", "Rohelised töölehed",IF(Language="Русский язык", "Закладки зеленого цвета","Green working papers"))</f>
        <v>Rohelised töölehed</v>
      </c>
      <c r="C14" s="41" t="str">
        <f>IF(Language="Eesti keel", "Sisestada tehingud seotud osapooltega",IF(Language="Русский язык", "Внесите данные по сделкам со связанными сторонами.","Enter the transactions with related parties."))</f>
        <v>Sisestada tehingud seotud osapooltega</v>
      </c>
    </row>
    <row r="15" spans="1:7" ht="18" customHeight="1">
      <c r="B15" s="53" t="s">
        <v>2</v>
      </c>
      <c r="C15" s="55" t="str">
        <f>'2.1'!B1</f>
        <v>Lühi- ja pikaajalised nõuded ja kohustised</v>
      </c>
    </row>
    <row r="16" spans="1:7" ht="18" customHeight="1">
      <c r="B16" s="54" t="s">
        <v>3</v>
      </c>
      <c r="C16" s="55" t="str">
        <f>'2.2'!B1</f>
        <v>Laenude liikumised</v>
      </c>
    </row>
    <row r="17" spans="1:3" ht="18" customHeight="1">
      <c r="B17" s="54" t="s">
        <v>4</v>
      </c>
      <c r="C17" s="55" t="str">
        <f>'2.3'!B1</f>
        <v>Müügid ja ostud</v>
      </c>
    </row>
    <row r="18" spans="1:3" ht="18" customHeight="1">
      <c r="B18" s="54" t="s">
        <v>5</v>
      </c>
      <c r="C18" s="55" t="str">
        <f>'2.4'!B1</f>
        <v>Antud ja saadud garantiid ja tagatised</v>
      </c>
    </row>
    <row r="19" spans="1:3" ht="18" customHeight="1">
      <c r="A19" s="51">
        <v>3</v>
      </c>
      <c r="B19" t="str">
        <f>IF(Language="Eesti keel", "Arvestusandmed",IF(Language="Русский язык", "Сводные данные учета","Bookkeeping Data"))</f>
        <v>Arvestusandmed</v>
      </c>
      <c r="C19" s="41" t="str">
        <f>IF(Language="Eesti keel", "Arvestusandmed kokku rohelistelt töölehtedelt (sarnases formaadis nagu majandusaasta aruandes). Ilmuvad automaatselt.",IF(Language="Русский язык", "Сводные данные, внесенные на закладках зеленого цвета (формируются автоматически).","Total bookkeeping data from the green working papers (in a format similar to the annual report). Will appear automatically."))</f>
        <v>Arvestusandmed kokku rohelistelt töölehtedelt (sarnases formaadis nagu majandusaasta aruandes). Ilmuvad automaatselt.</v>
      </c>
    </row>
    <row r="20" spans="1:3" ht="35" customHeight="1">
      <c r="A20" s="51">
        <v>4</v>
      </c>
      <c r="B20" s="12" t="str">
        <f>IF(Language="Eesti keel", "Andmed aastaaruande seotud osapoolte lisast",IF(Language="Русский язык", "Приложение в отчете ","Related Parties Note in Annual Report"))</f>
        <v>Andmed aastaaruande seotud osapoolte lisast</v>
      </c>
      <c r="C20" s="41" t="str">
        <f>IF(Language="Eesti keel", "Sisestada andmed majandusaasta aruande seotud osapoolte lisast",IF(Language="Русский язык", "Внесите данные из соответствующего приложения годового отчета.","Enter data from the Related parties note in the annual report."))</f>
        <v>Sisestada andmed majandusaasta aruande seotud osapoolte lisast</v>
      </c>
    </row>
    <row r="21" spans="1:3" ht="23" customHeight="1">
      <c r="A21" s="51">
        <v>5</v>
      </c>
      <c r="B21" s="12" t="str">
        <f>IF(Language="Eesti keel", "Kontrollvõrdlus",IF(Language="Русский язык", "КОНТРОЛЬ","Reconciliation (Comparison) of Information"))</f>
        <v>Kontrollvõrdlus</v>
      </c>
      <c r="C21" s="41" t="str">
        <f>IF(Language="Eesti keel", "Võrdlus raamatupidamisandmete ja majandusaasta aruande seotud osapoolte lisas kajastatud andmete vahel. Suuremate, kui 10-euriste erinevuste puhul muutuvad lahtrid punaseks.",IF(Language="Русский язык", "Сравнение данных учета с данными приложения в годовом отчете. Разницы, превышающие 10 евро, автоматически высветятся красным цветом.","Reconciliation of bookkeeping data and the data reported in the Related parties note in the annual report. In the case of differences exceeding EUR 10, the cells will turn red."))</f>
        <v>Võrdlus raamatupidamisandmete ja majandusaasta aruande seotud osapoolte lisas kajastatud andmete vahel. Suuremate, kui 10-euriste erinevuste puhul muutuvad lahtrid punaseks.</v>
      </c>
    </row>
  </sheetData>
  <mergeCells count="2">
    <mergeCell ref="B1:C1"/>
    <mergeCell ref="E3:F3"/>
  </mergeCells>
  <hyperlinks>
    <hyperlink ref="A13" location="'1'!A1" display="'1'!A1" xr:uid="{00000000-0004-0000-0000-000000000000}"/>
    <hyperlink ref="B15" location="'2.1'!A1" display="2.1" xr:uid="{00000000-0004-0000-0000-000001000000}"/>
    <hyperlink ref="B16" location="'2.2'!A1" display="2.2" xr:uid="{00000000-0004-0000-0000-000002000000}"/>
    <hyperlink ref="B17" location="'2.3'!A1" display="2.3" xr:uid="{00000000-0004-0000-0000-000003000000}"/>
    <hyperlink ref="B18" location="'2.4'!A1" display="2.4" xr:uid="{00000000-0004-0000-0000-000004000000}"/>
    <hyperlink ref="A19" location="'3'!A1" display="'3'!A1" xr:uid="{00000000-0004-0000-0000-000005000000}"/>
    <hyperlink ref="A20" location="'4'!A1" display="'4'!A1" xr:uid="{00000000-0004-0000-0000-000006000000}"/>
    <hyperlink ref="B20" location="'AA LISA'!A1" display="&quot;AA LISA&quot;" xr:uid="{00000000-0004-0000-0000-000007000000}"/>
    <hyperlink ref="A21" location="'5'!A1" display="'5'!A1" xr:uid="{00000000-0004-0000-0000-000008000000}"/>
    <hyperlink ref="B21" location="KONTROLL!A1" display="&quot;KONTROLL&quot;" xr:uid="{00000000-0004-0000-0000-000009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8808ABE-7C70-AF46-A286-8182A18C9B4C}">
          <x14:formula1>
            <xm:f>KEEL!$A$2:$A$4</xm:f>
          </x14:formula1>
          <xm:sqref>D1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A4"/>
  <sheetViews>
    <sheetView workbookViewId="0">
      <selection activeCell="A5" sqref="A5"/>
    </sheetView>
  </sheetViews>
  <sheetFormatPr baseColWidth="10" defaultRowHeight="16"/>
  <cols>
    <col min="1" max="1" width="22.1640625" customWidth="1"/>
  </cols>
  <sheetData>
    <row r="1" spans="1:1">
      <c r="A1" t="s">
        <v>27</v>
      </c>
    </row>
    <row r="2" spans="1:1">
      <c r="A2" t="s">
        <v>28</v>
      </c>
    </row>
    <row r="3" spans="1:1">
      <c r="A3" t="s">
        <v>29</v>
      </c>
    </row>
    <row r="4" spans="1:1">
      <c r="A4" t="s">
        <v>1</v>
      </c>
    </row>
  </sheetData>
  <sheetProtection algorithmName="SHA-512" hashValue="N0YMlNfBUXmVpUriZd+SogR+QAEeYiFbA7Ghfst9ZESY4//OEQAFDiBqizW+0USsN9SNWqrxnU1JmW7ErEi1Tw==" saltValue="LB2UGhm2QoFLSnUGkG9K0Q==" spinCount="100000" sheet="1" objects="1" scenarios="1" selectLockedCells="1" selectUnlockedCells="1"/>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9"/>
  <sheetViews>
    <sheetView zoomScale="210" zoomScaleNormal="210" workbookViewId="0">
      <selection activeCell="A9" sqref="A9"/>
    </sheetView>
  </sheetViews>
  <sheetFormatPr baseColWidth="10" defaultColWidth="10.6640625" defaultRowHeight="16"/>
  <cols>
    <col min="1" max="1" width="128.1640625" bestFit="1" customWidth="1"/>
  </cols>
  <sheetData>
    <row r="1" spans="1:1">
      <c r="A1" t="s">
        <v>30</v>
      </c>
    </row>
    <row r="2" spans="1:1" s="41" customFormat="1">
      <c r="A2" s="41" t="str">
        <f>IF(Language="Eesti keel", "Emaettevõtja",IF(Language="Русский язык", "Материнская компания","Parent Company"))</f>
        <v>Emaettevõtja</v>
      </c>
    </row>
    <row r="3" spans="1:1" s="41" customFormat="1">
      <c r="A3" s="41" t="str">
        <f>IF(Language="Eesti keel", "Tütarettevõtjad",IF(Language="Русский язык", "Дочерняя компания","Subsidiaries"))</f>
        <v>Tütarettevõtjad</v>
      </c>
    </row>
    <row r="4" spans="1:1" s="41" customFormat="1">
      <c r="A4" s="41" t="str">
        <f>IF(Language="Eesti keel", "Sidusettevõtjad",IF(Language="Русский язык", "Ассоциированная компания","Associates"))</f>
        <v>Sidusettevõtjad</v>
      </c>
    </row>
    <row r="5" spans="1:1" s="41" customFormat="1">
      <c r="A5" s="41" t="str">
        <f>IF(Language="Eesti keel", "Teised samasse konsolideerimisgruppi kuuluvad ettevõtjad",IF(Language="Русский язык", "Другие компании, входящие в ту же консолидированную группу","Other Group Companies"))</f>
        <v>Teised samasse konsolideerimisgruppi kuuluvad ettevõtjad</v>
      </c>
    </row>
    <row r="6" spans="1:1" s="41" customFormat="1" ht="40" customHeight="1">
      <c r="A6" s="12" t="str">
        <f>IF(Language="Eesti keel", "Tegev- ja kõrgem juhtkond ning olulise osalusega eraisikutest omanikud ning nende valitseva või olulise mõju all olevad ettevõtjad",IF(Language="Русский язык", "Исполнительное и высшее руководство, а также значительные частные собственники и предприятия, контролируемые ими или находящиеся под их значительным влиянием","Executive and higher management and individuals with a significant shareholding and companies under their control or significant influence"))</f>
        <v>Tegev- ja kõrgem juhtkond ning olulise osalusega eraisikutest omanikud ning nende valitseva või olulise mõju all olevad ettevõtjad</v>
      </c>
    </row>
    <row r="7" spans="1:1" s="41" customFormat="1" ht="21" customHeight="1">
      <c r="A7" s="41" t="str">
        <f>IF(Language="Eesti keel", "Olulise osalusega juriidilisest isikust omanikud ning nende valitseva või olulise mõju all olevad ettevõtjad",IF(Language="Русский язык", "Существенные акционеры и компании, контролируемые ими или находящиеся под их значительным влиянием","Legal persons with a significant shareholding and companies under their control or significant influence "))</f>
        <v>Olulise osalusega juriidilisest isikust omanikud ning nende valitseva või olulise mõju all olevad ettevõtjad</v>
      </c>
    </row>
    <row r="8" spans="1:1" s="41" customFormat="1" ht="34" customHeight="1">
      <c r="A8" s="12" t="str">
        <f>IF(Language="Eesti keel", "Tegev- ja kõrgema juhtkonna ning olulise osalusega eraisikust omanike lähedased pereliikmed ning nende valitseva või olulise mõju all olevad ettevõtjad",IF(Language="Русский язык", "Близкие родственники руководителей высшего звена, а также существенных частных собственников и их контролирующих или практически контролирующих предприятий","Close family members and companies under the control or significant influence of executive and higher management and individuals with a significant shareholding "))</f>
        <v>Tegev- ja kõrgema juhtkonna ning olulise osalusega eraisikust omanike lähedased pereliikmed ning nende valitseva või olulise mõju all olevad ettevõtjad</v>
      </c>
    </row>
    <row r="9" spans="1:1" s="41" customFormat="1">
      <c r="A9" s="41" t="str">
        <f>IF(Language="Eesti keel", "Muu seotud osapool",IF(Language="Русский язык", "Прочие связанные стороны","Other related parties"))</f>
        <v>Muu seotud osapool</v>
      </c>
    </row>
  </sheetData>
  <sheetProtection algorithmName="SHA-512" hashValue="TwEaXyURf3IEykrZvRHi5LIgNfCFMsxUTBrPZ33m6c+rHy6SGy4ljCF2Uy05OQPkmUbVxOeJBB84PcnPvTCg6A==" saltValue="0Z0ui95+iTLk2zRY4pho0Q==" spinCount="100000" sheet="1" objects="1" scenarios="1" selectLockedCells="1" selectUnlockedCells="1"/>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C88"/>
  <sheetViews>
    <sheetView workbookViewId="0">
      <selection activeCell="L57" sqref="L57"/>
    </sheetView>
  </sheetViews>
  <sheetFormatPr baseColWidth="10" defaultColWidth="8.83203125" defaultRowHeight="16"/>
  <sheetData>
    <row r="1" spans="1:3">
      <c r="A1" t="s">
        <v>31</v>
      </c>
      <c r="B1" t="s">
        <v>32</v>
      </c>
      <c r="C1" t="s">
        <v>33</v>
      </c>
    </row>
    <row r="2" spans="1:3">
      <c r="A2" t="s">
        <v>34</v>
      </c>
      <c r="B2" t="s">
        <v>35</v>
      </c>
      <c r="C2">
        <v>10990446</v>
      </c>
    </row>
    <row r="3" spans="1:3">
      <c r="A3" t="s">
        <v>36</v>
      </c>
      <c r="B3" t="s">
        <v>37</v>
      </c>
    </row>
    <row r="4" spans="1:3">
      <c r="A4" t="s">
        <v>38</v>
      </c>
      <c r="B4" t="s">
        <v>39</v>
      </c>
    </row>
    <row r="5" spans="1:3">
      <c r="A5" t="s">
        <v>40</v>
      </c>
      <c r="B5" t="s">
        <v>41</v>
      </c>
    </row>
    <row r="6" spans="1:3">
      <c r="A6" t="s">
        <v>42</v>
      </c>
      <c r="B6" t="s">
        <v>43</v>
      </c>
    </row>
    <row r="7" spans="1:3">
      <c r="A7" t="s">
        <v>44</v>
      </c>
      <c r="B7" t="s">
        <v>45</v>
      </c>
    </row>
    <row r="8" spans="1:3">
      <c r="A8" t="s">
        <v>46</v>
      </c>
      <c r="B8" t="s">
        <v>47</v>
      </c>
    </row>
    <row r="9" spans="1:3">
      <c r="A9" t="s">
        <v>48</v>
      </c>
      <c r="B9" t="s">
        <v>49</v>
      </c>
    </row>
    <row r="10" spans="1:3">
      <c r="A10" t="s">
        <v>50</v>
      </c>
      <c r="B10" t="s">
        <v>51</v>
      </c>
    </row>
    <row r="11" spans="1:3">
      <c r="A11" t="s">
        <v>52</v>
      </c>
      <c r="B11" t="s">
        <v>53</v>
      </c>
      <c r="C11" t="s">
        <v>54</v>
      </c>
    </row>
    <row r="12" spans="1:3">
      <c r="A12" t="s">
        <v>55</v>
      </c>
      <c r="B12" t="s">
        <v>56</v>
      </c>
      <c r="C12" t="s">
        <v>57</v>
      </c>
    </row>
    <row r="13" spans="1:3">
      <c r="A13" t="s">
        <v>58</v>
      </c>
      <c r="B13" t="s">
        <v>59</v>
      </c>
      <c r="C13" t="s">
        <v>60</v>
      </c>
    </row>
    <row r="14" spans="1:3">
      <c r="A14" t="s">
        <v>61</v>
      </c>
      <c r="B14" t="s">
        <v>62</v>
      </c>
      <c r="C14" t="s">
        <v>63</v>
      </c>
    </row>
    <row r="15" spans="1:3">
      <c r="A15" t="s">
        <v>64</v>
      </c>
      <c r="B15" t="s">
        <v>65</v>
      </c>
      <c r="C15" s="84">
        <v>44895</v>
      </c>
    </row>
    <row r="16" spans="1:3">
      <c r="A16" t="s">
        <v>66</v>
      </c>
      <c r="B16" t="s">
        <v>67</v>
      </c>
      <c r="C16" t="s">
        <v>68</v>
      </c>
    </row>
    <row r="17" spans="1:3">
      <c r="A17" t="s">
        <v>69</v>
      </c>
      <c r="B17" t="s">
        <v>70</v>
      </c>
      <c r="C17" t="s">
        <v>71</v>
      </c>
    </row>
    <row r="18" spans="1:3">
      <c r="A18" t="s">
        <v>72</v>
      </c>
      <c r="B18" t="s">
        <v>73</v>
      </c>
      <c r="C18" t="s">
        <v>74</v>
      </c>
    </row>
    <row r="19" spans="1:3">
      <c r="A19" t="s">
        <v>75</v>
      </c>
      <c r="B19" t="s">
        <v>76</v>
      </c>
    </row>
    <row r="20" spans="1:3">
      <c r="A20" t="s">
        <v>77</v>
      </c>
      <c r="B20" t="s">
        <v>78</v>
      </c>
    </row>
    <row r="21" spans="1:3">
      <c r="A21" t="s">
        <v>79</v>
      </c>
      <c r="B21" t="s">
        <v>80</v>
      </c>
    </row>
    <row r="22" spans="1:3">
      <c r="A22" t="s">
        <v>81</v>
      </c>
      <c r="B22" t="s">
        <v>82</v>
      </c>
      <c r="C22">
        <v>84</v>
      </c>
    </row>
    <row r="23" spans="1:3">
      <c r="A23" t="s">
        <v>83</v>
      </c>
      <c r="B23" t="s">
        <v>84</v>
      </c>
    </row>
    <row r="24" spans="1:3">
      <c r="A24" t="s">
        <v>85</v>
      </c>
      <c r="B24" t="s">
        <v>86</v>
      </c>
    </row>
    <row r="25" spans="1:3">
      <c r="A25" t="s">
        <v>87</v>
      </c>
      <c r="B25" t="s">
        <v>88</v>
      </c>
      <c r="C25">
        <v>10</v>
      </c>
    </row>
    <row r="26" spans="1:3">
      <c r="A26" t="s">
        <v>89</v>
      </c>
      <c r="B26" t="s">
        <v>90</v>
      </c>
    </row>
    <row r="27" spans="1:3">
      <c r="A27" t="s">
        <v>91</v>
      </c>
      <c r="B27" t="s">
        <v>92</v>
      </c>
    </row>
    <row r="28" spans="1:3">
      <c r="A28" t="s">
        <v>93</v>
      </c>
      <c r="B28" t="s">
        <v>94</v>
      </c>
      <c r="C28" t="s">
        <v>95</v>
      </c>
    </row>
    <row r="29" spans="1:3">
      <c r="A29" t="s">
        <v>96</v>
      </c>
      <c r="B29" t="s">
        <v>97</v>
      </c>
    </row>
    <row r="30" spans="1:3">
      <c r="A30" t="s">
        <v>98</v>
      </c>
      <c r="B30" t="s">
        <v>99</v>
      </c>
    </row>
    <row r="31" spans="1:3">
      <c r="A31" t="s">
        <v>100</v>
      </c>
      <c r="B31" t="s">
        <v>101</v>
      </c>
      <c r="C31" s="84">
        <v>44927</v>
      </c>
    </row>
    <row r="32" spans="1:3">
      <c r="A32" t="s">
        <v>102</v>
      </c>
      <c r="B32" t="s">
        <v>103</v>
      </c>
      <c r="C32" s="84">
        <v>45291</v>
      </c>
    </row>
    <row r="33" spans="1:3">
      <c r="A33" t="s">
        <v>104</v>
      </c>
      <c r="B33" t="s">
        <v>105</v>
      </c>
      <c r="C33" t="s">
        <v>106</v>
      </c>
    </row>
    <row r="34" spans="1:3">
      <c r="A34" t="s">
        <v>107</v>
      </c>
      <c r="B34" t="s">
        <v>108</v>
      </c>
    </row>
    <row r="35" spans="1:3">
      <c r="A35" t="s">
        <v>109</v>
      </c>
      <c r="B35" t="s">
        <v>110</v>
      </c>
    </row>
    <row r="36" spans="1:3">
      <c r="A36" t="s">
        <v>111</v>
      </c>
      <c r="B36" t="s">
        <v>112</v>
      </c>
    </row>
    <row r="37" spans="1:3">
      <c r="A37" t="s">
        <v>113</v>
      </c>
      <c r="B37" t="s">
        <v>114</v>
      </c>
    </row>
    <row r="38" spans="1:3">
      <c r="A38" t="s">
        <v>115</v>
      </c>
      <c r="B38" t="s">
        <v>116</v>
      </c>
    </row>
    <row r="39" spans="1:3">
      <c r="A39" t="s">
        <v>117</v>
      </c>
      <c r="B39" t="s">
        <v>118</v>
      </c>
    </row>
    <row r="40" spans="1:3">
      <c r="A40" t="s">
        <v>119</v>
      </c>
      <c r="B40" t="s">
        <v>120</v>
      </c>
    </row>
    <row r="41" spans="1:3">
      <c r="A41" t="s">
        <v>121</v>
      </c>
      <c r="B41" t="s">
        <v>122</v>
      </c>
    </row>
    <row r="42" spans="1:3">
      <c r="A42" t="s">
        <v>123</v>
      </c>
      <c r="B42" t="s">
        <v>124</v>
      </c>
      <c r="C42" t="s">
        <v>125</v>
      </c>
    </row>
    <row r="43" spans="1:3">
      <c r="A43" t="s">
        <v>126</v>
      </c>
      <c r="B43" t="s">
        <v>127</v>
      </c>
      <c r="C43" t="b">
        <v>0</v>
      </c>
    </row>
    <row r="44" spans="1:3">
      <c r="A44" t="s">
        <v>128</v>
      </c>
      <c r="B44" t="s">
        <v>129</v>
      </c>
    </row>
    <row r="45" spans="1:3">
      <c r="A45" t="s">
        <v>130</v>
      </c>
      <c r="B45" t="s">
        <v>131</v>
      </c>
    </row>
    <row r="46" spans="1:3">
      <c r="A46" t="s">
        <v>132</v>
      </c>
      <c r="B46" t="s">
        <v>133</v>
      </c>
    </row>
    <row r="47" spans="1:3">
      <c r="A47" t="s">
        <v>134</v>
      </c>
      <c r="B47" t="s">
        <v>135</v>
      </c>
      <c r="C47" t="b">
        <v>0</v>
      </c>
    </row>
    <row r="48" spans="1:3">
      <c r="A48" t="s">
        <v>136</v>
      </c>
      <c r="B48" t="s">
        <v>137</v>
      </c>
    </row>
    <row r="49" spans="1:3">
      <c r="A49" t="s">
        <v>138</v>
      </c>
      <c r="B49" t="s">
        <v>139</v>
      </c>
      <c r="C49">
        <v>42</v>
      </c>
    </row>
    <row r="50" spans="1:3">
      <c r="A50" t="s">
        <v>140</v>
      </c>
      <c r="B50" t="s">
        <v>141</v>
      </c>
    </row>
    <row r="51" spans="1:3">
      <c r="A51" t="s">
        <v>142</v>
      </c>
      <c r="B51" t="s">
        <v>143</v>
      </c>
    </row>
    <row r="52" spans="1:3">
      <c r="A52" t="s">
        <v>144</v>
      </c>
      <c r="B52" t="s">
        <v>145</v>
      </c>
      <c r="C52">
        <v>4500</v>
      </c>
    </row>
    <row r="53" spans="1:3">
      <c r="A53" t="s">
        <v>146</v>
      </c>
      <c r="B53" t="s">
        <v>147</v>
      </c>
    </row>
    <row r="54" spans="1:3">
      <c r="A54" t="s">
        <v>148</v>
      </c>
      <c r="B54" t="s">
        <v>149</v>
      </c>
    </row>
    <row r="55" spans="1:3">
      <c r="A55" t="s">
        <v>150</v>
      </c>
      <c r="B55" t="s">
        <v>151</v>
      </c>
      <c r="C55" s="84">
        <v>45366</v>
      </c>
    </row>
    <row r="56" spans="1:3">
      <c r="A56" t="s">
        <v>152</v>
      </c>
      <c r="B56" t="s">
        <v>153</v>
      </c>
      <c r="C56" t="s">
        <v>154</v>
      </c>
    </row>
    <row r="57" spans="1:3">
      <c r="A57" t="s">
        <v>155</v>
      </c>
      <c r="B57" t="s">
        <v>156</v>
      </c>
      <c r="C57" t="b">
        <v>0</v>
      </c>
    </row>
    <row r="58" spans="1:3">
      <c r="A58" t="s">
        <v>157</v>
      </c>
      <c r="B58" t="s">
        <v>158</v>
      </c>
    </row>
    <row r="59" spans="1:3">
      <c r="A59" t="s">
        <v>159</v>
      </c>
      <c r="B59" t="s">
        <v>160</v>
      </c>
    </row>
    <row r="60" spans="1:3">
      <c r="A60" t="s">
        <v>161</v>
      </c>
      <c r="B60" t="s">
        <v>162</v>
      </c>
      <c r="C60" t="s">
        <v>163</v>
      </c>
    </row>
    <row r="61" spans="1:3">
      <c r="A61" t="s">
        <v>164</v>
      </c>
      <c r="B61" t="s">
        <v>165</v>
      </c>
      <c r="C61" t="s">
        <v>166</v>
      </c>
    </row>
    <row r="62" spans="1:3">
      <c r="A62" t="s">
        <v>167</v>
      </c>
      <c r="B62" t="s">
        <v>168</v>
      </c>
      <c r="C62" t="s">
        <v>169</v>
      </c>
    </row>
    <row r="63" spans="1:3">
      <c r="A63" t="s">
        <v>170</v>
      </c>
      <c r="B63" t="s">
        <v>171</v>
      </c>
      <c r="C63" t="s">
        <v>172</v>
      </c>
    </row>
    <row r="64" spans="1:3">
      <c r="A64" t="s">
        <v>173</v>
      </c>
      <c r="B64" t="s">
        <v>174</v>
      </c>
      <c r="C64" t="s">
        <v>175</v>
      </c>
    </row>
    <row r="65" spans="1:3">
      <c r="A65" t="s">
        <v>176</v>
      </c>
      <c r="B65" t="s">
        <v>177</v>
      </c>
      <c r="C65" t="s">
        <v>178</v>
      </c>
    </row>
    <row r="66" spans="1:3">
      <c r="A66" t="s">
        <v>179</v>
      </c>
      <c r="B66" t="s">
        <v>180</v>
      </c>
      <c r="C66" t="s">
        <v>166</v>
      </c>
    </row>
    <row r="67" spans="1:3">
      <c r="A67" t="s">
        <v>181</v>
      </c>
      <c r="B67" t="s">
        <v>182</v>
      </c>
      <c r="C67" t="s">
        <v>169</v>
      </c>
    </row>
    <row r="68" spans="1:3">
      <c r="A68" t="s">
        <v>183</v>
      </c>
      <c r="B68" t="s">
        <v>184</v>
      </c>
      <c r="C68" t="s">
        <v>172</v>
      </c>
    </row>
    <row r="69" spans="1:3">
      <c r="A69" t="s">
        <v>185</v>
      </c>
      <c r="B69" t="s">
        <v>186</v>
      </c>
      <c r="C69" t="s">
        <v>175</v>
      </c>
    </row>
    <row r="70" spans="1:3">
      <c r="A70" t="s">
        <v>187</v>
      </c>
      <c r="B70" t="s">
        <v>188</v>
      </c>
      <c r="C70" t="s">
        <v>178</v>
      </c>
    </row>
    <row r="71" spans="1:3">
      <c r="A71" t="s">
        <v>189</v>
      </c>
      <c r="B71" t="s">
        <v>190</v>
      </c>
    </row>
    <row r="72" spans="1:3">
      <c r="A72" t="s">
        <v>191</v>
      </c>
      <c r="B72" t="s">
        <v>192</v>
      </c>
      <c r="C72">
        <v>1568590</v>
      </c>
    </row>
    <row r="73" spans="1:3">
      <c r="A73" t="s">
        <v>193</v>
      </c>
      <c r="B73" t="s">
        <v>194</v>
      </c>
    </row>
    <row r="74" spans="1:3">
      <c r="A74" t="s">
        <v>195</v>
      </c>
      <c r="B74" t="s">
        <v>196</v>
      </c>
      <c r="C74" t="b">
        <v>0</v>
      </c>
    </row>
    <row r="75" spans="1:3">
      <c r="A75" t="s">
        <v>197</v>
      </c>
      <c r="B75" t="s">
        <v>198</v>
      </c>
      <c r="C75" t="b">
        <v>0</v>
      </c>
    </row>
    <row r="76" spans="1:3">
      <c r="A76" t="s">
        <v>199</v>
      </c>
      <c r="B76" t="s">
        <v>200</v>
      </c>
      <c r="C76" t="b">
        <v>0</v>
      </c>
    </row>
    <row r="77" spans="1:3">
      <c r="A77" t="s">
        <v>201</v>
      </c>
      <c r="B77" t="s">
        <v>202</v>
      </c>
    </row>
    <row r="78" spans="1:3">
      <c r="A78" t="s">
        <v>203</v>
      </c>
      <c r="B78" t="s">
        <v>204</v>
      </c>
      <c r="C78" t="b">
        <v>0</v>
      </c>
    </row>
    <row r="79" spans="1:3">
      <c r="A79" t="s">
        <v>205</v>
      </c>
      <c r="B79" t="s">
        <v>206</v>
      </c>
      <c r="C79" t="s">
        <v>207</v>
      </c>
    </row>
    <row r="80" spans="1:3">
      <c r="A80" t="s">
        <v>208</v>
      </c>
      <c r="B80" t="s">
        <v>209</v>
      </c>
    </row>
    <row r="81" spans="1:3">
      <c r="A81" t="s">
        <v>210</v>
      </c>
      <c r="B81" t="s">
        <v>211</v>
      </c>
    </row>
    <row r="82" spans="1:3">
      <c r="A82" t="s">
        <v>212</v>
      </c>
      <c r="B82" t="s">
        <v>213</v>
      </c>
    </row>
    <row r="83" spans="1:3">
      <c r="A83" t="s">
        <v>214</v>
      </c>
      <c r="B83" t="s">
        <v>215</v>
      </c>
    </row>
    <row r="84" spans="1:3">
      <c r="A84" t="s">
        <v>216</v>
      </c>
      <c r="B84" t="s">
        <v>217</v>
      </c>
      <c r="C84" t="s">
        <v>218</v>
      </c>
    </row>
    <row r="85" spans="1:3">
      <c r="A85" t="s">
        <v>219</v>
      </c>
      <c r="B85" t="s">
        <v>220</v>
      </c>
    </row>
    <row r="86" spans="1:3">
      <c r="A86" t="s">
        <v>221</v>
      </c>
      <c r="B86" t="s">
        <v>222</v>
      </c>
      <c r="C86" t="s">
        <v>223</v>
      </c>
    </row>
    <row r="87" spans="1:3">
      <c r="A87" t="s">
        <v>224</v>
      </c>
      <c r="B87" t="s">
        <v>225</v>
      </c>
    </row>
    <row r="88" spans="1:3">
      <c r="A88" t="s">
        <v>226</v>
      </c>
      <c r="B88" t="s">
        <v>227</v>
      </c>
      <c r="C88" s="85">
        <v>45372.752060268547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G55"/>
  <sheetViews>
    <sheetView zoomScale="160" zoomScaleNormal="160" workbookViewId="0">
      <selection activeCell="B10" sqref="B10"/>
    </sheetView>
  </sheetViews>
  <sheetFormatPr baseColWidth="10" defaultColWidth="10.6640625" defaultRowHeight="16"/>
  <cols>
    <col min="1" max="1" width="70.1640625" customWidth="1"/>
    <col min="2" max="2" width="35.83203125" customWidth="1"/>
  </cols>
  <sheetData>
    <row r="1" spans="1:5" ht="17" customHeight="1">
      <c r="A1" s="8" t="str">
        <f>IF(Language="Eesti keel", "TEHINGUD SEOTUD OSAPOOLTEGA",IF(Language="Русский язык", "СВЯЗАННЫЕ СТОРОНЫ","TRANSACTIONS WITH RELATED PARTIES"))</f>
        <v>TEHINGUD SEOTUD OSAPOOLTEGA</v>
      </c>
      <c r="B1" s="83" t="str">
        <f>IF(Language="Eesti keel", "Juhend",IF(Language="Русский язык", "Руководство","Instructions"))</f>
        <v>Juhend</v>
      </c>
    </row>
    <row r="2" spans="1:5">
      <c r="A2" s="1"/>
    </row>
    <row r="3" spans="1:5" ht="17" customHeight="1">
      <c r="A3" s="4" t="str">
        <f>IF(Language="Eesti keel", "Sisestada tabelisse kõik teadaolevad seotud osapooled ning andmed raamatupidamisest seotud osapooltega. Seos ettevõttega valida rippmenüüst.",IF(Language="Русский язык", "Внесите в таблицу данные по всем известным связанным сторонам.  Слева выберите из меню связь с предприятием.","Enter all known related parties and bookkeeping data on related parties in the table. Select the relationship with the company from the drop-down menu. "))</f>
        <v>Sisestada tabelisse kõik teadaolevad seotud osapooled ning andmed raamatupidamisest seotud osapooltega. Seos ettevõttega valida rippmenüüst.</v>
      </c>
    </row>
    <row r="4" spans="1:5" ht="17" customHeight="1" thickBot="1"/>
    <row r="5" spans="1:5">
      <c r="A5" s="130" t="str">
        <f>IF(Language="Eesti keel", "NB! Konsolideeritud aruannetes ei ole vaja avalikustada konsolideerimise käigus elimineeritavaid tehinguid tütarettevõtetega. Emaettevõtja ja tütarettevõtja moodustavad ühe majandusüksuse.",IF(Language="Русский язык", "NB! Операции с дочерними компаниями, подлежащие исключению при консолидации, не должны раскрываться в
консолидированной финансовой отчетности.","NB! Transactions with subsidiaries to be eliminated during consolidation need not be disclosed in
the consolidated financial statements."))</f>
        <v>NB! Konsolideeritud aruannetes ei ole vaja avalikustada konsolideerimise käigus elimineeritavaid tehinguid tütarettevõtetega. Emaettevõtja ja tütarettevõtja moodustavad ühe majandusüksuse.</v>
      </c>
      <c r="B5" s="131"/>
      <c r="C5" s="131"/>
      <c r="D5" s="131"/>
      <c r="E5" s="132"/>
    </row>
    <row r="6" spans="1:5" ht="17" customHeight="1" thickBot="1">
      <c r="A6" s="133"/>
      <c r="B6" s="134"/>
      <c r="C6" s="134"/>
      <c r="D6" s="134"/>
      <c r="E6" s="135"/>
    </row>
    <row r="9" spans="1:5">
      <c r="A9" t="str">
        <f>IF(Language="Eesti keel", "Majandusüksus (ettevõte):",IF(Language="Русский язык", "Предприятие:","Company:"))</f>
        <v>Majandusüksus (ettevõte):</v>
      </c>
      <c r="B9" s="93" t="str">
        <f>_xlfn.XLOOKUP("companies__name",var!$A:$A,var!$C:$C)</f>
        <v>RTS Infra Eesti OÜ</v>
      </c>
    </row>
    <row r="10" spans="1:5">
      <c r="A10" t="str">
        <f>IF(Language="Eesti keel", "Majandusaasta lõpp:",IF(Language="Русский язык", "Конец отчетного периода:","End of financial year:"))</f>
        <v>Majandusaasta lõpp:</v>
      </c>
      <c r="B10" s="94">
        <f>_xlfn.XLOOKUP("projects__annual_report_end",var!$A:$A,var!$C:$C)</f>
        <v>45291</v>
      </c>
    </row>
    <row r="14" spans="1:5" ht="34" customHeight="1">
      <c r="A14" s="43" t="str">
        <f>IF(Language="Eesti keel","SEOS",IF(Language="Русский язык","СВЯЗЬ С ПРЕДПРИЯТИЕМ","RELATIONSHIP"))</f>
        <v>SEOS</v>
      </c>
      <c r="B14" s="42" t="str">
        <f>IF(Language="Eesti keel", "SEOTUD ISIKU NIMI",IF(Language="Русский язык", "НАИМЕНОВАНИЕ СВЯЗАННОГО ЛИЦА","NAME OF RELATED PARTY"))</f>
        <v>SEOTUD ISIKU NIMI</v>
      </c>
    </row>
    <row r="15" spans="1:5">
      <c r="A15" s="18"/>
      <c r="B15" s="21"/>
    </row>
    <row r="16" spans="1:5">
      <c r="A16" s="19"/>
      <c r="B16" s="22"/>
    </row>
    <row r="17" spans="1:2">
      <c r="A17" s="19"/>
      <c r="B17" s="22"/>
    </row>
    <row r="18" spans="1:2">
      <c r="A18" s="19"/>
      <c r="B18" s="22"/>
    </row>
    <row r="19" spans="1:2">
      <c r="A19" s="19"/>
      <c r="B19" s="22"/>
    </row>
    <row r="20" spans="1:2">
      <c r="A20" s="19"/>
      <c r="B20" s="22"/>
    </row>
    <row r="21" spans="1:2">
      <c r="A21" s="19"/>
      <c r="B21" s="22"/>
    </row>
    <row r="22" spans="1:2">
      <c r="A22" s="19"/>
      <c r="B22" s="22"/>
    </row>
    <row r="23" spans="1:2">
      <c r="A23" s="19"/>
      <c r="B23" s="22"/>
    </row>
    <row r="24" spans="1:2">
      <c r="A24" s="19"/>
      <c r="B24" s="22"/>
    </row>
    <row r="25" spans="1:2">
      <c r="A25" s="19"/>
      <c r="B25" s="22"/>
    </row>
    <row r="26" spans="1:2">
      <c r="A26" s="19"/>
      <c r="B26" s="22"/>
    </row>
    <row r="27" spans="1:2">
      <c r="A27" s="19"/>
      <c r="B27" s="22"/>
    </row>
    <row r="28" spans="1:2">
      <c r="A28" s="19"/>
      <c r="B28" s="22"/>
    </row>
    <row r="29" spans="1:2">
      <c r="A29" s="19"/>
      <c r="B29" s="22"/>
    </row>
    <row r="30" spans="1:2">
      <c r="A30" s="19"/>
      <c r="B30" s="22"/>
    </row>
    <row r="31" spans="1:2">
      <c r="A31" s="19"/>
      <c r="B31" s="22"/>
    </row>
    <row r="32" spans="1:2">
      <c r="A32" s="19"/>
      <c r="B32" s="22"/>
    </row>
    <row r="33" spans="1:2">
      <c r="A33" s="19"/>
      <c r="B33" s="22"/>
    </row>
    <row r="34" spans="1:2">
      <c r="A34" s="19"/>
      <c r="B34" s="22"/>
    </row>
    <row r="35" spans="1:2">
      <c r="A35" s="19"/>
      <c r="B35" s="22"/>
    </row>
    <row r="36" spans="1:2">
      <c r="A36" s="19"/>
      <c r="B36" s="22"/>
    </row>
    <row r="37" spans="1:2">
      <c r="A37" s="19"/>
      <c r="B37" s="22"/>
    </row>
    <row r="38" spans="1:2">
      <c r="A38" s="19"/>
      <c r="B38" s="22"/>
    </row>
    <row r="39" spans="1:2">
      <c r="A39" s="19"/>
      <c r="B39" s="22"/>
    </row>
    <row r="40" spans="1:2">
      <c r="A40" s="19"/>
      <c r="B40" s="22"/>
    </row>
    <row r="41" spans="1:2">
      <c r="A41" s="19"/>
      <c r="B41" s="22"/>
    </row>
    <row r="42" spans="1:2">
      <c r="A42" s="19"/>
      <c r="B42" s="22"/>
    </row>
    <row r="43" spans="1:2">
      <c r="A43" s="19"/>
      <c r="B43" s="22"/>
    </row>
    <row r="44" spans="1:2">
      <c r="A44" s="19"/>
      <c r="B44" s="22"/>
    </row>
    <row r="45" spans="1:2">
      <c r="A45" s="19"/>
      <c r="B45" s="22"/>
    </row>
    <row r="46" spans="1:2">
      <c r="A46" s="19"/>
      <c r="B46" s="22"/>
    </row>
    <row r="47" spans="1:2">
      <c r="A47" s="19"/>
      <c r="B47" s="22"/>
    </row>
    <row r="48" spans="1:2">
      <c r="A48" s="19"/>
      <c r="B48" s="22"/>
    </row>
    <row r="49" spans="1:7">
      <c r="A49" s="19"/>
      <c r="B49" s="22"/>
    </row>
    <row r="50" spans="1:7">
      <c r="A50" s="19"/>
      <c r="B50" s="22"/>
    </row>
    <row r="51" spans="1:7">
      <c r="A51" s="19"/>
      <c r="B51" s="22"/>
    </row>
    <row r="52" spans="1:7">
      <c r="A52" s="19"/>
      <c r="B52" s="22"/>
    </row>
    <row r="53" spans="1:7">
      <c r="A53" s="19"/>
      <c r="B53" s="22"/>
    </row>
    <row r="54" spans="1:7">
      <c r="A54" s="20"/>
      <c r="B54" s="23"/>
    </row>
    <row r="55" spans="1:7">
      <c r="C55" s="5"/>
      <c r="D55" s="5"/>
      <c r="E55" s="5"/>
      <c r="F55" s="5"/>
      <c r="G55" s="5"/>
    </row>
  </sheetData>
  <mergeCells count="1">
    <mergeCell ref="A5:E6"/>
  </mergeCells>
  <hyperlinks>
    <hyperlink ref="B1" location="'Juhend-Руководство-Instructions'!A1" display="'Juhend-Руководство-Instructions'!A1" xr:uid="{00000000-0004-0000-0100-000000000000}"/>
  </hyperlink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756FA35-DDC5-6644-A185-14E6C476E56F}">
          <x14:formula1>
            <xm:f>data!$A$2:$A$9</xm:f>
          </x14:formula1>
          <xm:sqref>A15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R47"/>
  <sheetViews>
    <sheetView topLeftCell="B1" zoomScale="140" zoomScaleNormal="140" workbookViewId="0">
      <selection activeCell="D2" sqref="D2"/>
    </sheetView>
  </sheetViews>
  <sheetFormatPr baseColWidth="10" defaultColWidth="10.83203125" defaultRowHeight="16" outlineLevelCol="1"/>
  <cols>
    <col min="1" max="1" width="64.5" style="3" hidden="1" customWidth="1" outlineLevel="1"/>
    <col min="2" max="2" width="32.83203125" style="3" customWidth="1" collapsed="1"/>
    <col min="3" max="5" width="18.83203125" style="3" customWidth="1"/>
    <col min="6" max="6" width="31.5" style="3" customWidth="1"/>
    <col min="7" max="7" width="18.83203125" style="3" customWidth="1"/>
    <col min="8" max="8" width="19.1640625" style="3" customWidth="1"/>
    <col min="9" max="11" width="18.83203125" style="3" customWidth="1"/>
    <col min="12" max="12" width="32.33203125" style="3" customWidth="1"/>
    <col min="13" max="13" width="23.5" style="3" customWidth="1"/>
    <col min="14" max="14" width="18.5" style="3" customWidth="1"/>
    <col min="15" max="15" width="10.83203125" style="3" customWidth="1"/>
    <col min="16" max="16384" width="10.83203125" style="3"/>
  </cols>
  <sheetData>
    <row r="1" spans="1:14" ht="17" customHeight="1">
      <c r="A1" s="10"/>
      <c r="B1" s="27" t="str">
        <f>IF(Language="Eesti keel", "Lühi- ja pikaajalised nõuded ja kohustised",IF(Language="Русский язык", "Краткосрочные и долгосрочные требования и задолженности","Current and non-current receivables and payables"))</f>
        <v>Lühi- ja pikaajalised nõuded ja kohustised</v>
      </c>
      <c r="D1" s="139" t="s">
        <v>6</v>
      </c>
      <c r="E1" s="140"/>
    </row>
    <row r="2" spans="1:14">
      <c r="A2" s="27"/>
      <c r="B2" s="93" t="str">
        <f>_xlfn.XLOOKUP("companies__name",var!$A:$A,var!$C:$C)</f>
        <v>RTS Infra Eesti OÜ</v>
      </c>
      <c r="C2" s="94">
        <f>_xlfn.XLOOKUP("projects__annual_report_end",var!$A:$A,var!$C:$C)</f>
        <v>45291</v>
      </c>
    </row>
    <row r="3" spans="1:14" ht="17" customHeight="1">
      <c r="A3" s="28"/>
    </row>
    <row r="4" spans="1:14" ht="19" customHeight="1">
      <c r="B4" s="136" t="str">
        <f>IF(Language="Eesti keel", "SEOTUD ISIKU NIMI",IF(Language="Русский язык", "НАЗВАНИЕ СВЯЗАННОЙ СТОРОНЫ","NAME OF RELATED PARTY"))</f>
        <v>SEOTUD ISIKU NIMI</v>
      </c>
      <c r="C4" s="141" t="str">
        <f>IF(Language="Eesti keel", "LÜHIAJALISED",IF(Language="Русский язык", "КРАТКОСРОЧНЫЕ","CURRENT"))</f>
        <v>LÜHIAJALISED</v>
      </c>
      <c r="D4" s="142"/>
      <c r="E4" s="142"/>
      <c r="F4" s="142"/>
      <c r="G4" s="142"/>
      <c r="H4" s="143"/>
      <c r="I4" s="144" t="str">
        <f>IF(Language="Eesti keel", "PIKAAJALISED",IF(Language="Русский язык", "ДОЛГОСРОЧНЫЕ","NON-CURRENT"))</f>
        <v>PIKAAJALISED</v>
      </c>
      <c r="J4" s="142"/>
      <c r="K4" s="142"/>
      <c r="L4" s="142"/>
      <c r="M4" s="142"/>
      <c r="N4" s="143"/>
    </row>
    <row r="5" spans="1:14">
      <c r="B5" s="137"/>
      <c r="C5" s="145" t="str">
        <f>IF(Language="Eesti keel", "Nõuded ja ettemaksed",IF(Language="Русский язык", "Требования и предоплаты","Receivables and prepayments"))</f>
        <v>Nõuded ja ettemaksed</v>
      </c>
      <c r="D5" s="146"/>
      <c r="E5" s="147"/>
      <c r="F5" s="35" t="str">
        <f>IF(Language="Eesti keel", "Laenukohustised",IF(Language="Русский язык", "Обязательства по займам","Borrowings"))</f>
        <v>Laenukohustised</v>
      </c>
      <c r="G5" s="148" t="str">
        <f>IF(Language="Eesti keel", "Võlad ja ettemaksed",IF(Language="Русский язык", "Обязательства и предоплаты","Payables and advances received"))</f>
        <v>Võlad ja ettemaksed</v>
      </c>
      <c r="H5" s="149"/>
      <c r="I5" s="145" t="str">
        <f>C5</f>
        <v>Nõuded ja ettemaksed</v>
      </c>
      <c r="J5" s="146"/>
      <c r="K5" s="147"/>
      <c r="L5" s="35" t="str">
        <f>F5</f>
        <v>Laenukohustised</v>
      </c>
      <c r="M5" s="150" t="str">
        <f>G5</f>
        <v>Võlad ja ettemaksed</v>
      </c>
      <c r="N5" s="143"/>
    </row>
    <row r="6" spans="1:14" ht="85" customHeight="1">
      <c r="A6" s="9" t="s">
        <v>7</v>
      </c>
      <c r="B6" s="138"/>
      <c r="C6" s="44" t="str">
        <f>IF(Language="Eesti keel", "Nõuded ostjatele ja muud nõuded",IF(Language="Русский язык", "Требования к покупателям и прочие требования (предоплаты)","Trade and other receivables"))</f>
        <v>Nõuded ostjatele ja muud nõuded</v>
      </c>
      <c r="D6" s="44" t="str">
        <f>IF(Language="Eesti keel", "Laenunõuded",IF(Language="Русский язык", "Требования по займам","Loans provided"))</f>
        <v>Laenunõuded</v>
      </c>
      <c r="E6" s="44" t="str">
        <f>IF(Language="Eesti keel", "Intressinõuded",IF(Language="Русский язык", "Требования по процентам","Interest receivable"))</f>
        <v>Intressinõuded</v>
      </c>
      <c r="F6" s="33" t="str">
        <f>IF(Language="Eesti keel", "Laenukohustised",IF(Language="Русский язык", "Задолженность по займам","Borrowings"))</f>
        <v>Laenukohustised</v>
      </c>
      <c r="G6" s="44" t="str">
        <f>IF(Language="Eesti keel", "Intressivõlad",IF(Language="Русский язык", "Задолженность по процентам","Interest payable"))</f>
        <v>Intressivõlad</v>
      </c>
      <c r="H6" s="45" t="str">
        <f>IF(Language="Eesti keel", "Võlad tarnijatele ja muud võlad",IF(Language="Русский язык", "Задолженность поставщикам и прочая задолженность (предоплаты)","Trade and other payables"))</f>
        <v>Võlad tarnijatele ja muud võlad</v>
      </c>
      <c r="I6" s="46" t="str">
        <f>C6</f>
        <v>Nõuded ostjatele ja muud nõuded</v>
      </c>
      <c r="J6" s="44" t="str">
        <f>D6</f>
        <v>Laenunõuded</v>
      </c>
      <c r="K6" s="44" t="str">
        <f>E6</f>
        <v>Intressinõuded</v>
      </c>
      <c r="L6" s="47" t="str">
        <f>F6</f>
        <v>Laenukohustised</v>
      </c>
      <c r="M6" s="44" t="str">
        <f>G6</f>
        <v>Intressivõlad</v>
      </c>
      <c r="N6" s="44" t="str">
        <f>H6</f>
        <v>Võlad tarnijatele ja muud võlad</v>
      </c>
    </row>
    <row r="7" spans="1:14">
      <c r="A7" t="str">
        <f>IF('1'!$A15&lt;&gt;0,'1'!$A15,"")</f>
        <v/>
      </c>
      <c r="B7" s="48" t="str">
        <f>IF('1'!$B15&lt;&gt;0,'1'!$B15,"")</f>
        <v/>
      </c>
      <c r="C7" s="95"/>
      <c r="D7" s="96"/>
      <c r="E7" s="97"/>
      <c r="F7" s="98"/>
      <c r="G7" s="99"/>
      <c r="H7" s="99"/>
      <c r="I7" s="100"/>
      <c r="J7" s="99"/>
      <c r="K7" s="99"/>
      <c r="L7" s="98"/>
      <c r="M7" s="95"/>
      <c r="N7" s="97"/>
    </row>
    <row r="8" spans="1:14">
      <c r="A8" t="str">
        <f>IF('1'!$A16&lt;&gt;0,'1'!$A16,"")</f>
        <v/>
      </c>
      <c r="B8" s="48" t="str">
        <f>IF('1'!$B16&lt;&gt;0,'1'!$B16,"")</f>
        <v/>
      </c>
      <c r="C8" s="101"/>
      <c r="D8" s="99"/>
      <c r="E8" s="102"/>
      <c r="F8" s="103"/>
      <c r="G8" s="99"/>
      <c r="H8" s="99"/>
      <c r="I8" s="100"/>
      <c r="J8" s="99"/>
      <c r="K8" s="99"/>
      <c r="L8" s="103"/>
      <c r="M8" s="101"/>
      <c r="N8" s="102"/>
    </row>
    <row r="9" spans="1:14">
      <c r="A9" t="str">
        <f>IF('1'!$A17&lt;&gt;0,'1'!$A17,"")</f>
        <v/>
      </c>
      <c r="B9" s="48" t="str">
        <f>IF('1'!$B17&lt;&gt;0,'1'!$B17,"")</f>
        <v/>
      </c>
      <c r="C9" s="101"/>
      <c r="D9" s="99"/>
      <c r="E9" s="102"/>
      <c r="F9" s="103"/>
      <c r="G9" s="99"/>
      <c r="H9" s="99"/>
      <c r="I9" s="100"/>
      <c r="J9" s="99"/>
      <c r="K9" s="99"/>
      <c r="L9" s="103"/>
      <c r="M9" s="101"/>
      <c r="N9" s="102"/>
    </row>
    <row r="10" spans="1:14">
      <c r="A10" t="str">
        <f>IF('1'!$A18&lt;&gt;0,'1'!$A18,"")</f>
        <v/>
      </c>
      <c r="B10" s="48" t="str">
        <f>IF('1'!$B18&lt;&gt;0,'1'!$B18,"")</f>
        <v/>
      </c>
      <c r="C10" s="101"/>
      <c r="D10" s="99"/>
      <c r="E10" s="102"/>
      <c r="F10" s="103"/>
      <c r="G10" s="99"/>
      <c r="H10" s="99"/>
      <c r="I10" s="100"/>
      <c r="J10" s="99"/>
      <c r="K10" s="99"/>
      <c r="L10" s="103"/>
      <c r="M10" s="101"/>
      <c r="N10" s="102"/>
    </row>
    <row r="11" spans="1:14">
      <c r="A11" t="str">
        <f>IF('1'!$A19&lt;&gt;0,'1'!$A19,"")</f>
        <v/>
      </c>
      <c r="B11" s="48" t="str">
        <f>IF('1'!$B19&lt;&gt;0,'1'!$B19,"")</f>
        <v/>
      </c>
      <c r="C11" s="101"/>
      <c r="D11" s="99"/>
      <c r="E11" s="102"/>
      <c r="F11" s="103"/>
      <c r="G11" s="99"/>
      <c r="H11" s="99"/>
      <c r="I11" s="100"/>
      <c r="J11" s="99"/>
      <c r="K11" s="99"/>
      <c r="L11" s="103"/>
      <c r="M11" s="101"/>
      <c r="N11" s="102"/>
    </row>
    <row r="12" spans="1:14">
      <c r="A12" t="str">
        <f>IF('1'!$A20&lt;&gt;0,'1'!$A20,"")</f>
        <v/>
      </c>
      <c r="B12" s="48" t="str">
        <f>IF('1'!$B20&lt;&gt;0,'1'!$B20,"")</f>
        <v/>
      </c>
      <c r="C12" s="101"/>
      <c r="D12" s="99"/>
      <c r="E12" s="102"/>
      <c r="F12" s="103"/>
      <c r="G12" s="99"/>
      <c r="H12" s="99"/>
      <c r="I12" s="100"/>
      <c r="J12" s="99"/>
      <c r="K12" s="99"/>
      <c r="L12" s="103"/>
      <c r="M12" s="101"/>
      <c r="N12" s="102"/>
    </row>
    <row r="13" spans="1:14">
      <c r="A13" t="str">
        <f>IF('1'!$A21&lt;&gt;0,'1'!$A21,"")</f>
        <v/>
      </c>
      <c r="B13" s="48" t="str">
        <f>IF('1'!$B21&lt;&gt;0,'1'!$B21,"")</f>
        <v/>
      </c>
      <c r="C13" s="101"/>
      <c r="D13" s="99"/>
      <c r="E13" s="102"/>
      <c r="F13" s="103"/>
      <c r="G13" s="99"/>
      <c r="H13" s="99"/>
      <c r="I13" s="100"/>
      <c r="J13" s="99"/>
      <c r="K13" s="99"/>
      <c r="L13" s="103"/>
      <c r="M13" s="101"/>
      <c r="N13" s="102"/>
    </row>
    <row r="14" spans="1:14">
      <c r="A14" t="str">
        <f>IF('1'!$A22&lt;&gt;0,'1'!$A22,"")</f>
        <v/>
      </c>
      <c r="B14" s="48" t="str">
        <f>IF('1'!$B22&lt;&gt;0,'1'!$B22,"")</f>
        <v/>
      </c>
      <c r="C14" s="101"/>
      <c r="D14" s="99"/>
      <c r="E14" s="102"/>
      <c r="F14" s="103"/>
      <c r="G14" s="99"/>
      <c r="H14" s="99"/>
      <c r="I14" s="100"/>
      <c r="J14" s="99"/>
      <c r="K14" s="99"/>
      <c r="L14" s="103"/>
      <c r="M14" s="101"/>
      <c r="N14" s="102"/>
    </row>
    <row r="15" spans="1:14">
      <c r="A15" t="str">
        <f>IF('1'!$A23&lt;&gt;0,'1'!$A23,"")</f>
        <v/>
      </c>
      <c r="B15" s="48" t="str">
        <f>IF('1'!$B23&lt;&gt;0,'1'!$B23,"")</f>
        <v/>
      </c>
      <c r="C15" s="101"/>
      <c r="D15" s="99"/>
      <c r="E15" s="102"/>
      <c r="F15" s="103"/>
      <c r="G15" s="99"/>
      <c r="H15" s="99"/>
      <c r="I15" s="100"/>
      <c r="J15" s="99"/>
      <c r="K15" s="99"/>
      <c r="L15" s="103"/>
      <c r="M15" s="101"/>
      <c r="N15" s="102"/>
    </row>
    <row r="16" spans="1:14">
      <c r="A16" t="str">
        <f>IF('1'!$A24&lt;&gt;0,'1'!$A24,"")</f>
        <v/>
      </c>
      <c r="B16" s="48" t="str">
        <f>IF('1'!$B24&lt;&gt;0,'1'!$B24,"")</f>
        <v/>
      </c>
      <c r="C16" s="101"/>
      <c r="D16" s="99"/>
      <c r="E16" s="102"/>
      <c r="F16" s="103"/>
      <c r="G16" s="99"/>
      <c r="H16" s="99"/>
      <c r="I16" s="100"/>
      <c r="J16" s="99"/>
      <c r="K16" s="99"/>
      <c r="L16" s="103"/>
      <c r="M16" s="101"/>
      <c r="N16" s="102"/>
    </row>
    <row r="17" spans="1:14">
      <c r="A17" t="str">
        <f>IF('1'!$A25&lt;&gt;0,'1'!$A25,"")</f>
        <v/>
      </c>
      <c r="B17" s="48" t="str">
        <f>IF('1'!$B25&lt;&gt;0,'1'!$B25,"")</f>
        <v/>
      </c>
      <c r="C17" s="101"/>
      <c r="D17" s="99"/>
      <c r="E17" s="102"/>
      <c r="F17" s="103"/>
      <c r="G17" s="99"/>
      <c r="H17" s="99"/>
      <c r="I17" s="100"/>
      <c r="J17" s="99"/>
      <c r="K17" s="99"/>
      <c r="L17" s="103"/>
      <c r="M17" s="101"/>
      <c r="N17" s="102"/>
    </row>
    <row r="18" spans="1:14">
      <c r="A18" t="str">
        <f>IF('1'!$A26&lt;&gt;0,'1'!$A26,"")</f>
        <v/>
      </c>
      <c r="B18" s="48" t="str">
        <f>IF('1'!$B26&lt;&gt;0,'1'!$B26,"")</f>
        <v/>
      </c>
      <c r="C18" s="101"/>
      <c r="D18" s="99"/>
      <c r="E18" s="102"/>
      <c r="F18" s="103"/>
      <c r="G18" s="99"/>
      <c r="H18" s="99"/>
      <c r="I18" s="100"/>
      <c r="J18" s="99"/>
      <c r="K18" s="99"/>
      <c r="L18" s="103"/>
      <c r="M18" s="101"/>
      <c r="N18" s="102"/>
    </row>
    <row r="19" spans="1:14">
      <c r="A19" t="str">
        <f>IF('1'!$A27&lt;&gt;0,'1'!$A27,"")</f>
        <v/>
      </c>
      <c r="B19" s="48" t="str">
        <f>IF('1'!$B27&lt;&gt;0,'1'!$B27,"")</f>
        <v/>
      </c>
      <c r="C19" s="101"/>
      <c r="D19" s="99"/>
      <c r="E19" s="102"/>
      <c r="F19" s="103"/>
      <c r="G19" s="99"/>
      <c r="H19" s="99"/>
      <c r="I19" s="100"/>
      <c r="J19" s="99"/>
      <c r="K19" s="99"/>
      <c r="L19" s="103"/>
      <c r="M19" s="101"/>
      <c r="N19" s="102"/>
    </row>
    <row r="20" spans="1:14">
      <c r="A20" t="str">
        <f>IF('1'!$A28&lt;&gt;0,'1'!$A28,"")</f>
        <v/>
      </c>
      <c r="B20" s="48" t="str">
        <f>IF('1'!$B28&lt;&gt;0,'1'!$B28,"")</f>
        <v/>
      </c>
      <c r="C20" s="101"/>
      <c r="D20" s="99"/>
      <c r="E20" s="102"/>
      <c r="F20" s="103"/>
      <c r="G20" s="99"/>
      <c r="H20" s="99"/>
      <c r="I20" s="100"/>
      <c r="J20" s="99"/>
      <c r="K20" s="99"/>
      <c r="L20" s="103"/>
      <c r="M20" s="101"/>
      <c r="N20" s="102"/>
    </row>
    <row r="21" spans="1:14">
      <c r="A21" t="str">
        <f>IF('1'!$A29&lt;&gt;0,'1'!$A29,"")</f>
        <v/>
      </c>
      <c r="B21" s="48" t="str">
        <f>IF('1'!$B29&lt;&gt;0,'1'!$B29,"")</f>
        <v/>
      </c>
      <c r="C21" s="101"/>
      <c r="D21" s="99"/>
      <c r="E21" s="102"/>
      <c r="F21" s="103"/>
      <c r="G21" s="99"/>
      <c r="H21" s="99"/>
      <c r="I21" s="100"/>
      <c r="J21" s="99"/>
      <c r="K21" s="99"/>
      <c r="L21" s="103"/>
      <c r="M21" s="101"/>
      <c r="N21" s="102"/>
    </row>
    <row r="22" spans="1:14">
      <c r="A22" t="str">
        <f>IF('1'!$A30&lt;&gt;0,'1'!$A30,"")</f>
        <v/>
      </c>
      <c r="B22" s="48" t="str">
        <f>IF('1'!$B30&lt;&gt;0,'1'!$B30,"")</f>
        <v/>
      </c>
      <c r="C22" s="101"/>
      <c r="D22" s="99"/>
      <c r="E22" s="102"/>
      <c r="F22" s="103"/>
      <c r="G22" s="99"/>
      <c r="H22" s="99"/>
      <c r="I22" s="100"/>
      <c r="J22" s="99"/>
      <c r="K22" s="99"/>
      <c r="L22" s="103"/>
      <c r="M22" s="101"/>
      <c r="N22" s="102"/>
    </row>
    <row r="23" spans="1:14">
      <c r="A23" t="str">
        <f>IF('1'!$A31&lt;&gt;0,'1'!$A31,"")</f>
        <v/>
      </c>
      <c r="B23" s="48" t="str">
        <f>IF('1'!$B31&lt;&gt;0,'1'!$B31,"")</f>
        <v/>
      </c>
      <c r="C23" s="101"/>
      <c r="D23" s="99"/>
      <c r="E23" s="102"/>
      <c r="F23" s="103"/>
      <c r="G23" s="99"/>
      <c r="H23" s="99"/>
      <c r="I23" s="100"/>
      <c r="J23" s="99"/>
      <c r="K23" s="99"/>
      <c r="L23" s="103"/>
      <c r="M23" s="101"/>
      <c r="N23" s="102"/>
    </row>
    <row r="24" spans="1:14">
      <c r="A24" t="str">
        <f>IF('1'!$A32&lt;&gt;0,'1'!$A32,"")</f>
        <v/>
      </c>
      <c r="B24" s="48" t="str">
        <f>IF('1'!$B32&lt;&gt;0,'1'!$B32,"")</f>
        <v/>
      </c>
      <c r="C24" s="101"/>
      <c r="D24" s="99"/>
      <c r="E24" s="102"/>
      <c r="F24" s="103"/>
      <c r="G24" s="99"/>
      <c r="H24" s="99"/>
      <c r="I24" s="100"/>
      <c r="J24" s="99"/>
      <c r="K24" s="99"/>
      <c r="L24" s="103"/>
      <c r="M24" s="101"/>
      <c r="N24" s="102"/>
    </row>
    <row r="25" spans="1:14">
      <c r="A25" t="str">
        <f>IF('1'!$A33&lt;&gt;0,'1'!$A33,"")</f>
        <v/>
      </c>
      <c r="B25" s="48" t="str">
        <f>IF('1'!$B33&lt;&gt;0,'1'!$B33,"")</f>
        <v/>
      </c>
      <c r="C25" s="101"/>
      <c r="D25" s="99"/>
      <c r="E25" s="102"/>
      <c r="F25" s="103"/>
      <c r="G25" s="99"/>
      <c r="H25" s="99"/>
      <c r="I25" s="100"/>
      <c r="J25" s="99"/>
      <c r="K25" s="99"/>
      <c r="L25" s="103"/>
      <c r="M25" s="101"/>
      <c r="N25" s="102"/>
    </row>
    <row r="26" spans="1:14">
      <c r="A26" t="str">
        <f>IF('1'!$A34&lt;&gt;0,'1'!$A34,"")</f>
        <v/>
      </c>
      <c r="B26" s="48" t="str">
        <f>IF('1'!$B34&lt;&gt;0,'1'!$B34,"")</f>
        <v/>
      </c>
      <c r="C26" s="101"/>
      <c r="D26" s="99"/>
      <c r="E26" s="102"/>
      <c r="F26" s="103"/>
      <c r="G26" s="99"/>
      <c r="H26" s="99"/>
      <c r="I26" s="100"/>
      <c r="J26" s="99"/>
      <c r="K26" s="99"/>
      <c r="L26" s="103"/>
      <c r="M26" s="101"/>
      <c r="N26" s="102"/>
    </row>
    <row r="27" spans="1:14">
      <c r="A27" t="str">
        <f>IF('1'!$A35&lt;&gt;0,'1'!$A35,"")</f>
        <v/>
      </c>
      <c r="B27" s="48" t="str">
        <f>IF('1'!$B35&lt;&gt;0,'1'!$B35,"")</f>
        <v/>
      </c>
      <c r="C27" s="101"/>
      <c r="D27" s="99"/>
      <c r="E27" s="102"/>
      <c r="F27" s="103"/>
      <c r="G27" s="99"/>
      <c r="H27" s="99"/>
      <c r="I27" s="100"/>
      <c r="J27" s="99"/>
      <c r="K27" s="99"/>
      <c r="L27" s="103"/>
      <c r="M27" s="101"/>
      <c r="N27" s="102"/>
    </row>
    <row r="28" spans="1:14">
      <c r="A28" t="str">
        <f>IF('1'!$A36&lt;&gt;0,'1'!$A36,"")</f>
        <v/>
      </c>
      <c r="B28" s="48" t="str">
        <f>IF('1'!$B36&lt;&gt;0,'1'!$B36,"")</f>
        <v/>
      </c>
      <c r="C28" s="101"/>
      <c r="D28" s="99"/>
      <c r="E28" s="102"/>
      <c r="F28" s="103"/>
      <c r="G28" s="99"/>
      <c r="H28" s="99"/>
      <c r="I28" s="100"/>
      <c r="J28" s="99"/>
      <c r="K28" s="99"/>
      <c r="L28" s="103"/>
      <c r="M28" s="101"/>
      <c r="N28" s="102"/>
    </row>
    <row r="29" spans="1:14">
      <c r="A29" t="str">
        <f>IF('1'!$A37&lt;&gt;0,'1'!$A37,"")</f>
        <v/>
      </c>
      <c r="B29" s="48" t="str">
        <f>IF('1'!$B37&lt;&gt;0,'1'!$B37,"")</f>
        <v/>
      </c>
      <c r="C29" s="101"/>
      <c r="D29" s="99"/>
      <c r="E29" s="102"/>
      <c r="F29" s="103"/>
      <c r="G29" s="99"/>
      <c r="H29" s="99"/>
      <c r="I29" s="100"/>
      <c r="J29" s="99"/>
      <c r="K29" s="99"/>
      <c r="L29" s="103"/>
      <c r="M29" s="101"/>
      <c r="N29" s="102"/>
    </row>
    <row r="30" spans="1:14">
      <c r="A30" t="str">
        <f>IF('1'!$A38&lt;&gt;0,'1'!$A38,"")</f>
        <v/>
      </c>
      <c r="B30" s="48" t="str">
        <f>IF('1'!$B38&lt;&gt;0,'1'!$B38,"")</f>
        <v/>
      </c>
      <c r="C30" s="101"/>
      <c r="D30" s="99"/>
      <c r="E30" s="102"/>
      <c r="F30" s="103"/>
      <c r="G30" s="99"/>
      <c r="H30" s="99"/>
      <c r="I30" s="100"/>
      <c r="J30" s="99"/>
      <c r="K30" s="99"/>
      <c r="L30" s="103"/>
      <c r="M30" s="101"/>
      <c r="N30" s="102"/>
    </row>
    <row r="31" spans="1:14">
      <c r="A31" t="str">
        <f>IF('1'!$A39&lt;&gt;0,'1'!$A39,"")</f>
        <v/>
      </c>
      <c r="B31" s="48" t="str">
        <f>IF('1'!$B39&lt;&gt;0,'1'!$B39,"")</f>
        <v/>
      </c>
      <c r="C31" s="101"/>
      <c r="D31" s="99"/>
      <c r="E31" s="102"/>
      <c r="F31" s="103"/>
      <c r="G31" s="99"/>
      <c r="H31" s="99"/>
      <c r="I31" s="100"/>
      <c r="J31" s="99"/>
      <c r="K31" s="99"/>
      <c r="L31" s="103"/>
      <c r="M31" s="101"/>
      <c r="N31" s="102"/>
    </row>
    <row r="32" spans="1:14">
      <c r="A32" t="str">
        <f>IF('1'!$A40&lt;&gt;0,'1'!$A40,"")</f>
        <v/>
      </c>
      <c r="B32" s="48" t="str">
        <f>IF('1'!$B40&lt;&gt;0,'1'!$B40,"")</f>
        <v/>
      </c>
      <c r="C32" s="101"/>
      <c r="D32" s="99"/>
      <c r="E32" s="102"/>
      <c r="F32" s="103"/>
      <c r="G32" s="99"/>
      <c r="H32" s="99"/>
      <c r="I32" s="100"/>
      <c r="J32" s="99"/>
      <c r="K32" s="99"/>
      <c r="L32" s="103"/>
      <c r="M32" s="101"/>
      <c r="N32" s="102"/>
    </row>
    <row r="33" spans="1:18">
      <c r="A33" t="str">
        <f>IF('1'!$A41&lt;&gt;0,'1'!$A41,"")</f>
        <v/>
      </c>
      <c r="B33" s="48" t="str">
        <f>IF('1'!$B41&lt;&gt;0,'1'!$B41,"")</f>
        <v/>
      </c>
      <c r="C33" s="101"/>
      <c r="D33" s="99"/>
      <c r="E33" s="102"/>
      <c r="F33" s="103"/>
      <c r="G33" s="99"/>
      <c r="H33" s="99"/>
      <c r="I33" s="100"/>
      <c r="J33" s="99"/>
      <c r="K33" s="99"/>
      <c r="L33" s="103"/>
      <c r="M33" s="101"/>
      <c r="N33" s="102"/>
    </row>
    <row r="34" spans="1:18">
      <c r="A34" t="str">
        <f>IF('1'!$A42&lt;&gt;0,'1'!$A42,"")</f>
        <v/>
      </c>
      <c r="B34" s="48" t="str">
        <f>IF('1'!$B42&lt;&gt;0,'1'!$B42,"")</f>
        <v/>
      </c>
      <c r="C34" s="101"/>
      <c r="D34" s="99"/>
      <c r="E34" s="102"/>
      <c r="F34" s="103"/>
      <c r="G34" s="99"/>
      <c r="H34" s="99"/>
      <c r="I34" s="100"/>
      <c r="J34" s="99"/>
      <c r="K34" s="99"/>
      <c r="L34" s="103"/>
      <c r="M34" s="101"/>
      <c r="N34" s="102"/>
    </row>
    <row r="35" spans="1:18">
      <c r="A35" t="str">
        <f>IF('1'!$A43&lt;&gt;0,'1'!$A43,"")</f>
        <v/>
      </c>
      <c r="B35" s="48" t="str">
        <f>IF('1'!$B43&lt;&gt;0,'1'!$B43,"")</f>
        <v/>
      </c>
      <c r="C35" s="101"/>
      <c r="D35" s="99"/>
      <c r="E35" s="102"/>
      <c r="F35" s="103"/>
      <c r="G35" s="99"/>
      <c r="H35" s="99"/>
      <c r="I35" s="100"/>
      <c r="J35" s="99"/>
      <c r="K35" s="99"/>
      <c r="L35" s="103"/>
      <c r="M35" s="101"/>
      <c r="N35" s="102"/>
    </row>
    <row r="36" spans="1:18">
      <c r="A36" t="str">
        <f>IF('1'!$A44&lt;&gt;0,'1'!$A44,"")</f>
        <v/>
      </c>
      <c r="B36" s="48" t="str">
        <f>IF('1'!$B44&lt;&gt;0,'1'!$B44,"")</f>
        <v/>
      </c>
      <c r="C36" s="101"/>
      <c r="D36" s="99"/>
      <c r="E36" s="102"/>
      <c r="F36" s="103"/>
      <c r="G36" s="99"/>
      <c r="H36" s="99"/>
      <c r="I36" s="100"/>
      <c r="J36" s="99"/>
      <c r="K36" s="99"/>
      <c r="L36" s="103"/>
      <c r="M36" s="101"/>
      <c r="N36" s="102"/>
    </row>
    <row r="37" spans="1:18">
      <c r="A37" t="str">
        <f>IF('1'!$A45&lt;&gt;0,'1'!$A45,"")</f>
        <v/>
      </c>
      <c r="B37" s="48" t="str">
        <f>IF('1'!$B45&lt;&gt;0,'1'!$B45,"")</f>
        <v/>
      </c>
      <c r="C37" s="101"/>
      <c r="D37" s="99"/>
      <c r="E37" s="102"/>
      <c r="F37" s="103"/>
      <c r="G37" s="99"/>
      <c r="H37" s="99"/>
      <c r="I37" s="100"/>
      <c r="J37" s="99"/>
      <c r="K37" s="99"/>
      <c r="L37" s="103"/>
      <c r="M37" s="101"/>
      <c r="N37" s="102"/>
    </row>
    <row r="38" spans="1:18">
      <c r="A38" t="str">
        <f>IF('1'!$A46&lt;&gt;0,'1'!$A46,"")</f>
        <v/>
      </c>
      <c r="B38" s="48" t="str">
        <f>IF('1'!$B46&lt;&gt;0,'1'!$B46,"")</f>
        <v/>
      </c>
      <c r="C38" s="101"/>
      <c r="D38" s="99"/>
      <c r="E38" s="102"/>
      <c r="F38" s="103"/>
      <c r="G38" s="99"/>
      <c r="H38" s="99"/>
      <c r="I38" s="100"/>
      <c r="J38" s="99"/>
      <c r="K38" s="99"/>
      <c r="L38" s="103"/>
      <c r="M38" s="101"/>
      <c r="N38" s="102"/>
    </row>
    <row r="39" spans="1:18">
      <c r="A39" t="str">
        <f>IF('1'!$A47&lt;&gt;0,'1'!$A47,"")</f>
        <v/>
      </c>
      <c r="B39" s="48" t="str">
        <f>IF('1'!$B47&lt;&gt;0,'1'!$B47,"")</f>
        <v/>
      </c>
      <c r="C39" s="101"/>
      <c r="D39" s="99"/>
      <c r="E39" s="102"/>
      <c r="F39" s="103"/>
      <c r="G39" s="99"/>
      <c r="H39" s="99"/>
      <c r="I39" s="100"/>
      <c r="J39" s="99"/>
      <c r="K39" s="99"/>
      <c r="L39" s="103"/>
      <c r="M39" s="101"/>
      <c r="N39" s="102"/>
    </row>
    <row r="40" spans="1:18">
      <c r="A40" t="str">
        <f>IF('1'!$A48&lt;&gt;0,'1'!$A48,"")</f>
        <v/>
      </c>
      <c r="B40" s="48" t="str">
        <f>IF('1'!$B48&lt;&gt;0,'1'!$B48,"")</f>
        <v/>
      </c>
      <c r="C40" s="101"/>
      <c r="D40" s="99"/>
      <c r="E40" s="102"/>
      <c r="F40" s="103"/>
      <c r="G40" s="99"/>
      <c r="H40" s="99"/>
      <c r="I40" s="100"/>
      <c r="J40" s="99"/>
      <c r="K40" s="99"/>
      <c r="L40" s="103"/>
      <c r="M40" s="101"/>
      <c r="N40" s="102"/>
    </row>
    <row r="41" spans="1:18">
      <c r="A41" t="str">
        <f>IF('1'!$A49&lt;&gt;0,'1'!$A49,"")</f>
        <v/>
      </c>
      <c r="B41" s="48" t="str">
        <f>IF('1'!$B49&lt;&gt;0,'1'!$B49,"")</f>
        <v/>
      </c>
      <c r="C41" s="101"/>
      <c r="D41" s="99"/>
      <c r="E41" s="102"/>
      <c r="F41" s="103"/>
      <c r="G41" s="99"/>
      <c r="H41" s="99"/>
      <c r="I41" s="100"/>
      <c r="J41" s="99"/>
      <c r="K41" s="99"/>
      <c r="L41" s="103"/>
      <c r="M41" s="101"/>
      <c r="N41" s="102"/>
    </row>
    <row r="42" spans="1:18">
      <c r="A42" t="str">
        <f>IF('1'!$A50&lt;&gt;0,'1'!$A50,"")</f>
        <v/>
      </c>
      <c r="B42" s="48" t="str">
        <f>IF('1'!$B50&lt;&gt;0,'1'!$B50,"")</f>
        <v/>
      </c>
      <c r="C42" s="101"/>
      <c r="D42" s="99"/>
      <c r="E42" s="102"/>
      <c r="F42" s="103"/>
      <c r="G42" s="99"/>
      <c r="H42" s="99"/>
      <c r="I42" s="100"/>
      <c r="J42" s="99"/>
      <c r="K42" s="99"/>
      <c r="L42" s="103"/>
      <c r="M42" s="101"/>
      <c r="N42" s="102"/>
    </row>
    <row r="43" spans="1:18">
      <c r="A43" t="str">
        <f>IF('1'!$A51&lt;&gt;0,'1'!$A51,"")</f>
        <v/>
      </c>
      <c r="B43" s="48" t="str">
        <f>IF('1'!$B51&lt;&gt;0,'1'!$B51,"")</f>
        <v/>
      </c>
      <c r="C43" s="101"/>
      <c r="D43" s="99"/>
      <c r="E43" s="102"/>
      <c r="F43" s="103"/>
      <c r="G43" s="99"/>
      <c r="H43" s="99"/>
      <c r="I43" s="100"/>
      <c r="J43" s="99"/>
      <c r="K43" s="99"/>
      <c r="L43" s="103"/>
      <c r="M43" s="101"/>
      <c r="N43" s="102"/>
    </row>
    <row r="44" spans="1:18">
      <c r="A44" t="str">
        <f>IF('1'!$A52&lt;&gt;0,'1'!$A52,"")</f>
        <v/>
      </c>
      <c r="B44" s="48" t="str">
        <f>IF('1'!$B52&lt;&gt;0,'1'!$B52,"")</f>
        <v/>
      </c>
      <c r="C44" s="101"/>
      <c r="D44" s="99"/>
      <c r="E44" s="102"/>
      <c r="F44" s="103"/>
      <c r="G44" s="99"/>
      <c r="H44" s="99"/>
      <c r="I44" s="100"/>
      <c r="J44" s="99"/>
      <c r="K44" s="99"/>
      <c r="L44" s="103"/>
      <c r="M44" s="101"/>
      <c r="N44" s="102"/>
    </row>
    <row r="45" spans="1:18">
      <c r="A45" t="str">
        <f>IF('1'!$A53&lt;&gt;0,'1'!$A53,"")</f>
        <v/>
      </c>
      <c r="B45" s="48" t="str">
        <f>IF('1'!$B53&lt;&gt;0,'1'!$B53,"")</f>
        <v/>
      </c>
      <c r="C45" s="101"/>
      <c r="D45" s="99"/>
      <c r="E45" s="102"/>
      <c r="F45" s="103"/>
      <c r="G45" s="99"/>
      <c r="H45" s="99"/>
      <c r="I45" s="100"/>
      <c r="J45" s="99"/>
      <c r="K45" s="99"/>
      <c r="L45" s="103"/>
      <c r="M45" s="101"/>
      <c r="N45" s="102"/>
    </row>
    <row r="46" spans="1:18">
      <c r="A46" t="str">
        <f>IF('1'!$A54&lt;&gt;0,'1'!$A54,"")</f>
        <v/>
      </c>
      <c r="B46" s="48" t="str">
        <f>IF('1'!$B54&lt;&gt;0,'1'!$B54,"")</f>
        <v/>
      </c>
      <c r="C46" s="104"/>
      <c r="D46" s="105"/>
      <c r="E46" s="106"/>
      <c r="F46" s="107"/>
      <c r="G46" s="104"/>
      <c r="H46" s="105"/>
      <c r="I46" s="108"/>
      <c r="J46" s="105"/>
      <c r="K46" s="105"/>
      <c r="L46" s="107"/>
      <c r="M46" s="104"/>
      <c r="N46" s="106"/>
    </row>
    <row r="47" spans="1:18">
      <c r="B47" s="49"/>
      <c r="C47" s="109">
        <f t="shared" ref="C47:N47" si="0">SUM(C7:C46)</f>
        <v>0</v>
      </c>
      <c r="D47" s="109">
        <f t="shared" si="0"/>
        <v>0</v>
      </c>
      <c r="E47" s="109">
        <f t="shared" si="0"/>
        <v>0</v>
      </c>
      <c r="F47" s="109">
        <f t="shared" si="0"/>
        <v>0</v>
      </c>
      <c r="G47" s="109">
        <f t="shared" si="0"/>
        <v>0</v>
      </c>
      <c r="H47" s="109">
        <f t="shared" si="0"/>
        <v>0</v>
      </c>
      <c r="I47" s="109">
        <f t="shared" si="0"/>
        <v>0</v>
      </c>
      <c r="J47" s="109">
        <f t="shared" si="0"/>
        <v>0</v>
      </c>
      <c r="K47" s="109">
        <f t="shared" si="0"/>
        <v>0</v>
      </c>
      <c r="L47" s="109">
        <f t="shared" si="0"/>
        <v>0</v>
      </c>
      <c r="M47" s="109">
        <f t="shared" si="0"/>
        <v>0</v>
      </c>
      <c r="N47" s="110">
        <f t="shared" si="0"/>
        <v>0</v>
      </c>
      <c r="O47" s="29"/>
      <c r="P47" s="29"/>
      <c r="Q47" s="29"/>
      <c r="R47" s="29"/>
    </row>
  </sheetData>
  <sheetProtection sheet="1" selectLockedCells="1"/>
  <mergeCells count="8">
    <mergeCell ref="B4:B6"/>
    <mergeCell ref="D1:E1"/>
    <mergeCell ref="C4:H4"/>
    <mergeCell ref="I4:N4"/>
    <mergeCell ref="C5:E5"/>
    <mergeCell ref="I5:K5"/>
    <mergeCell ref="G5:H5"/>
    <mergeCell ref="M5:N5"/>
  </mergeCells>
  <hyperlinks>
    <hyperlink ref="D1" location="'Juhend-Руководство-Instructions'!A1" display="Руководство" xr:uid="{00000000-0004-0000-0200-000000000000}"/>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O47"/>
  <sheetViews>
    <sheetView topLeftCell="B1" zoomScale="140" zoomScaleNormal="140" workbookViewId="0">
      <selection activeCell="J9" sqref="J9"/>
    </sheetView>
  </sheetViews>
  <sheetFormatPr baseColWidth="10" defaultColWidth="10.83203125" defaultRowHeight="16" outlineLevelCol="1"/>
  <cols>
    <col min="1" max="1" width="64.5" style="3" hidden="1" customWidth="1" outlineLevel="1"/>
    <col min="2" max="2" width="37" style="3" customWidth="1" collapsed="1"/>
    <col min="3" max="3" width="22.1640625" style="3" customWidth="1"/>
    <col min="4" max="10" width="18.5" style="3" customWidth="1"/>
    <col min="11" max="11" width="10.83203125" style="3" customWidth="1"/>
    <col min="12" max="16384" width="10.83203125" style="3"/>
  </cols>
  <sheetData>
    <row r="1" spans="1:10" ht="17" customHeight="1">
      <c r="A1" s="10"/>
      <c r="B1" s="27" t="str">
        <f>IF(Language="Eesti keel","Laenude liikumised",IF(Language="Русский язык","ДВИЖЕНИЕ ПО ЗАЙМАМ","Movements in loans"))</f>
        <v>Laenude liikumised</v>
      </c>
      <c r="C1" s="139" t="s">
        <v>6</v>
      </c>
      <c r="D1" s="140"/>
    </row>
    <row r="2" spans="1:10">
      <c r="A2" s="27"/>
      <c r="B2" s="93" t="str">
        <f>_xlfn.XLOOKUP("companies__name",var!$A:$A,var!$C:$C)</f>
        <v>RTS Infra Eesti OÜ</v>
      </c>
      <c r="C2" s="94">
        <f>_xlfn.XLOOKUP("projects__annual_report_end",var!$A:$A,var!$C:$C)</f>
        <v>45291</v>
      </c>
    </row>
    <row r="3" spans="1:10" ht="17" customHeight="1">
      <c r="A3" s="28"/>
    </row>
    <row r="5" spans="1:10">
      <c r="C5" s="151" t="str">
        <f>IF(Language="Eesti keel", "LAENUNÕUDED",IF(Language="Русский язык", "ВЫДАННЫЕ ЗАЙМЫ","LOANS PROVIDED"))</f>
        <v>LAENUNÕUDED</v>
      </c>
      <c r="D5" s="152"/>
      <c r="E5" s="152"/>
      <c r="F5" s="152"/>
      <c r="G5" s="153" t="str">
        <f>IF(Language="Eesti keel", "LAENUKOHUSTISED (saadud laenud)",IF(Language="Русский язык", "ПОЛУЧЕННЫЕ ЗАЙМЫ","BORROWINGS (Loans Received)"))</f>
        <v>LAENUKOHUSTISED (saadud laenud)</v>
      </c>
      <c r="H5" s="142"/>
      <c r="I5" s="142"/>
      <c r="J5" s="143"/>
    </row>
    <row r="6" spans="1:10" ht="58" customHeight="1">
      <c r="A6" s="9" t="s">
        <v>7</v>
      </c>
      <c r="B6" s="9" t="str">
        <f>'1'!$B$14</f>
        <v>SEOTUD ISIKU NIMI</v>
      </c>
      <c r="C6" s="44" t="str">
        <f>IF(Language="Eesti keel", "Antud laenud",IF(Language="Русский язык", "Выданные займы","Loans provided"))</f>
        <v>Antud laenud</v>
      </c>
      <c r="D6" s="44" t="str">
        <f>IF(Language="Eesti keel", "Antud laenude tagasimaksed",IF(Language="Русский язык", "Возврат выданных займов","Repayments of loans provided"))</f>
        <v>Antud laenude tagasimaksed</v>
      </c>
      <c r="E6" s="36">
        <f>_xlfn.XLOOKUP("projects__annual_report_end",var!$A:$A,var!$C:$C)</f>
        <v>45291</v>
      </c>
      <c r="F6" s="45" t="str">
        <f>IF(Language="Eesti keel", "Perioodi arvestatud intressid",IF(Language="Русский язык", "Проценты, начисленные за отчетный период","Interest accrued during the period"))</f>
        <v>Perioodi arvestatud intressid</v>
      </c>
      <c r="G6" s="34" t="str">
        <f>IF(Language="Eesti keel", "Saadud laenud",IF(Language="Русский язык", "Полученные займы","Loans received"))</f>
        <v>Saadud laenud</v>
      </c>
      <c r="H6" s="44" t="str">
        <f>IF(Language="Eesti keel", "Saadud laenude tagasimaksed",IF(Language="Русский язык", "Возврат полученных займов","Repayments of loans received"))</f>
        <v>Saadud laenude tagasimaksed</v>
      </c>
      <c r="I6" s="37">
        <f>_xlfn.XLOOKUP("projects__annual_report_end",var!$A:$A,var!$C:$C)</f>
        <v>45291</v>
      </c>
      <c r="J6" s="44" t="str">
        <f>F6</f>
        <v>Perioodi arvestatud intressid</v>
      </c>
    </row>
    <row r="7" spans="1:10">
      <c r="A7" t="str">
        <f>IF('1'!$A15&lt;&gt;0,'1'!$A15,"")</f>
        <v/>
      </c>
      <c r="B7" t="str">
        <f>IF('1'!$B15&lt;&gt;0,'1'!$B15,"")</f>
        <v/>
      </c>
      <c r="C7" s="101"/>
      <c r="D7" s="99"/>
      <c r="E7" s="111" t="str">
        <f>IF('2.1'!D7+'2.1'!J7&lt;&gt;0,'2.1'!D7+'2.1'!J7,"")</f>
        <v/>
      </c>
      <c r="F7" s="99"/>
      <c r="G7" s="100"/>
      <c r="H7" s="99"/>
      <c r="I7" s="111" t="str">
        <f>IF('2.1'!F7+'2.1'!L7&lt;&gt;0,'2.1'!F7+'2.1'!L7,"")</f>
        <v/>
      </c>
      <c r="J7" s="112"/>
    </row>
    <row r="8" spans="1:10">
      <c r="A8" t="str">
        <f>IF('1'!$A16&lt;&gt;0,'1'!$A16,"")</f>
        <v/>
      </c>
      <c r="B8" t="str">
        <f>IF('1'!$B16&lt;&gt;0,'1'!$B16,"")</f>
        <v/>
      </c>
      <c r="C8" s="101"/>
      <c r="D8" s="99"/>
      <c r="E8" s="111" t="str">
        <f>IF('2.1'!D8+'2.1'!J8&lt;&gt;0,'2.1'!D8+'2.1'!J8,"")</f>
        <v/>
      </c>
      <c r="F8" s="99"/>
      <c r="G8" s="100"/>
      <c r="H8" s="99"/>
      <c r="I8" s="111" t="str">
        <f>IF('2.1'!F8+'2.1'!L8&lt;&gt;0,'2.1'!F8+'2.1'!L8,"")</f>
        <v/>
      </c>
      <c r="J8" s="112"/>
    </row>
    <row r="9" spans="1:10">
      <c r="A9" t="str">
        <f>IF('1'!$A17&lt;&gt;0,'1'!$A17,"")</f>
        <v/>
      </c>
      <c r="B9" t="str">
        <f>IF('1'!$B17&lt;&gt;0,'1'!$B17,"")</f>
        <v/>
      </c>
      <c r="C9" s="101"/>
      <c r="D9" s="99"/>
      <c r="E9" s="111" t="str">
        <f>IF('2.1'!D9+'2.1'!J9&lt;&gt;0,'2.1'!D9+'2.1'!J9,"")</f>
        <v/>
      </c>
      <c r="F9" s="99"/>
      <c r="G9" s="100"/>
      <c r="H9" s="99"/>
      <c r="I9" s="111" t="str">
        <f>IF('2.1'!F9+'2.1'!L9&lt;&gt;0,'2.1'!F9+'2.1'!L9,"")</f>
        <v/>
      </c>
      <c r="J9" s="112"/>
    </row>
    <row r="10" spans="1:10">
      <c r="A10" t="str">
        <f>IF('1'!$A18&lt;&gt;0,'1'!$A18,"")</f>
        <v/>
      </c>
      <c r="B10" t="str">
        <f>IF('1'!$B18&lt;&gt;0,'1'!$B18,"")</f>
        <v/>
      </c>
      <c r="C10" s="101"/>
      <c r="D10" s="99"/>
      <c r="E10" s="111" t="str">
        <f>IF('2.1'!D10+'2.1'!J10&lt;&gt;0,'2.1'!D10+'2.1'!J10,"")</f>
        <v/>
      </c>
      <c r="F10" s="99"/>
      <c r="G10" s="100"/>
      <c r="H10" s="99"/>
      <c r="I10" s="111" t="str">
        <f>IF('2.1'!F10+'2.1'!L10&lt;&gt;0,'2.1'!F10+'2.1'!L10,"")</f>
        <v/>
      </c>
      <c r="J10" s="112"/>
    </row>
    <row r="11" spans="1:10">
      <c r="A11" t="str">
        <f>IF('1'!$A19&lt;&gt;0,'1'!$A19,"")</f>
        <v/>
      </c>
      <c r="B11" t="str">
        <f>IF('1'!$B19&lt;&gt;0,'1'!$B19,"")</f>
        <v/>
      </c>
      <c r="C11" s="101"/>
      <c r="D11" s="99"/>
      <c r="E11" s="111" t="str">
        <f>IF('2.1'!D11+'2.1'!J11&lt;&gt;0,'2.1'!D11+'2.1'!J11,"")</f>
        <v/>
      </c>
      <c r="F11" s="99"/>
      <c r="G11" s="100"/>
      <c r="H11" s="99"/>
      <c r="I11" s="111" t="str">
        <f>IF('2.1'!F11+'2.1'!L11&lt;&gt;0,'2.1'!F11+'2.1'!L11,"")</f>
        <v/>
      </c>
      <c r="J11" s="112"/>
    </row>
    <row r="12" spans="1:10">
      <c r="A12" t="str">
        <f>IF('1'!$A20&lt;&gt;0,'1'!$A20,"")</f>
        <v/>
      </c>
      <c r="B12" t="str">
        <f>IF('1'!$B20&lt;&gt;0,'1'!$B20,"")</f>
        <v/>
      </c>
      <c r="C12" s="101"/>
      <c r="D12" s="99"/>
      <c r="E12" s="111" t="str">
        <f>IF('2.1'!D12+'2.1'!J12&lt;&gt;0,'2.1'!D12+'2.1'!J12,"")</f>
        <v/>
      </c>
      <c r="F12" s="99"/>
      <c r="G12" s="100"/>
      <c r="H12" s="99"/>
      <c r="I12" s="111" t="str">
        <f>IF('2.1'!F12+'2.1'!L12&lt;&gt;0,'2.1'!F12+'2.1'!L12,"")</f>
        <v/>
      </c>
      <c r="J12" s="112"/>
    </row>
    <row r="13" spans="1:10">
      <c r="A13" t="str">
        <f>IF('1'!$A21&lt;&gt;0,'1'!$A21,"")</f>
        <v/>
      </c>
      <c r="B13" t="str">
        <f>IF('1'!$B21&lt;&gt;0,'1'!$B21,"")</f>
        <v/>
      </c>
      <c r="C13" s="101"/>
      <c r="D13" s="99"/>
      <c r="E13" s="111" t="str">
        <f>IF('2.1'!D13+'2.1'!J13&lt;&gt;0,'2.1'!D13+'2.1'!J13,"")</f>
        <v/>
      </c>
      <c r="F13" s="99"/>
      <c r="G13" s="100"/>
      <c r="H13" s="99"/>
      <c r="I13" s="111" t="str">
        <f>IF('2.1'!F13+'2.1'!L13&lt;&gt;0,'2.1'!F13+'2.1'!L13,"")</f>
        <v/>
      </c>
      <c r="J13" s="112"/>
    </row>
    <row r="14" spans="1:10">
      <c r="A14" t="str">
        <f>IF('1'!$A22&lt;&gt;0,'1'!$A22,"")</f>
        <v/>
      </c>
      <c r="B14" t="str">
        <f>IF('1'!$B22&lt;&gt;0,'1'!$B22,"")</f>
        <v/>
      </c>
      <c r="C14" s="101"/>
      <c r="D14" s="99"/>
      <c r="E14" s="111" t="str">
        <f>IF('2.1'!D14+'2.1'!J14&lt;&gt;0,'2.1'!D14+'2.1'!J14,"")</f>
        <v/>
      </c>
      <c r="F14" s="99"/>
      <c r="G14" s="100"/>
      <c r="H14" s="99"/>
      <c r="I14" s="111" t="str">
        <f>IF('2.1'!F14+'2.1'!L14&lt;&gt;0,'2.1'!F14+'2.1'!L14,"")</f>
        <v/>
      </c>
      <c r="J14" s="112"/>
    </row>
    <row r="15" spans="1:10">
      <c r="A15" t="str">
        <f>IF('1'!$A23&lt;&gt;0,'1'!$A23,"")</f>
        <v/>
      </c>
      <c r="B15" t="str">
        <f>IF('1'!$B23&lt;&gt;0,'1'!$B23,"")</f>
        <v/>
      </c>
      <c r="C15" s="101"/>
      <c r="D15" s="99"/>
      <c r="E15" s="111" t="str">
        <f>IF('2.1'!D15+'2.1'!J15&lt;&gt;0,'2.1'!D15+'2.1'!J15,"")</f>
        <v/>
      </c>
      <c r="F15" s="99"/>
      <c r="G15" s="100"/>
      <c r="H15" s="99"/>
      <c r="I15" s="111" t="str">
        <f>IF('2.1'!F15+'2.1'!L15&lt;&gt;0,'2.1'!F15+'2.1'!L15,"")</f>
        <v/>
      </c>
      <c r="J15" s="112"/>
    </row>
    <row r="16" spans="1:10">
      <c r="A16" t="str">
        <f>IF('1'!$A24&lt;&gt;0,'1'!$A24,"")</f>
        <v/>
      </c>
      <c r="B16" t="str">
        <f>IF('1'!$B24&lt;&gt;0,'1'!$B24,"")</f>
        <v/>
      </c>
      <c r="C16" s="101"/>
      <c r="D16" s="99"/>
      <c r="E16" s="111" t="str">
        <f>IF('2.1'!D16+'2.1'!J16&lt;&gt;0,'2.1'!D16+'2.1'!J16,"")</f>
        <v/>
      </c>
      <c r="F16" s="99"/>
      <c r="G16" s="100"/>
      <c r="H16" s="99"/>
      <c r="I16" s="111" t="str">
        <f>IF('2.1'!F16+'2.1'!L16&lt;&gt;0,'2.1'!F16+'2.1'!L16,"")</f>
        <v/>
      </c>
      <c r="J16" s="112"/>
    </row>
    <row r="17" spans="1:10">
      <c r="A17" t="str">
        <f>IF('1'!$A25&lt;&gt;0,'1'!$A25,"")</f>
        <v/>
      </c>
      <c r="B17" t="str">
        <f>IF('1'!$B25&lt;&gt;0,'1'!$B25,"")</f>
        <v/>
      </c>
      <c r="C17" s="101"/>
      <c r="D17" s="99"/>
      <c r="E17" s="111" t="str">
        <f>IF('2.1'!D17+'2.1'!J17&lt;&gt;0,'2.1'!D17+'2.1'!J17,"")</f>
        <v/>
      </c>
      <c r="F17" s="99"/>
      <c r="G17" s="100"/>
      <c r="H17" s="99"/>
      <c r="I17" s="111" t="str">
        <f>IF('2.1'!F17+'2.1'!L17&lt;&gt;0,'2.1'!F17+'2.1'!L17,"")</f>
        <v/>
      </c>
      <c r="J17" s="112"/>
    </row>
    <row r="18" spans="1:10">
      <c r="A18" t="str">
        <f>IF('1'!$A26&lt;&gt;0,'1'!$A26,"")</f>
        <v/>
      </c>
      <c r="B18" t="str">
        <f>IF('1'!$B26&lt;&gt;0,'1'!$B26,"")</f>
        <v/>
      </c>
      <c r="C18" s="101"/>
      <c r="D18" s="99"/>
      <c r="E18" s="111" t="str">
        <f>IF('2.1'!D18+'2.1'!J18&lt;&gt;0,'2.1'!D18+'2.1'!J18,"")</f>
        <v/>
      </c>
      <c r="F18" s="99"/>
      <c r="G18" s="100"/>
      <c r="H18" s="99"/>
      <c r="I18" s="111" t="str">
        <f>IF('2.1'!F18+'2.1'!L18&lt;&gt;0,'2.1'!F18+'2.1'!L18,"")</f>
        <v/>
      </c>
      <c r="J18" s="112"/>
    </row>
    <row r="19" spans="1:10">
      <c r="A19" t="str">
        <f>IF('1'!$A27&lt;&gt;0,'1'!$A27,"")</f>
        <v/>
      </c>
      <c r="B19" t="str">
        <f>IF('1'!$B27&lt;&gt;0,'1'!$B27,"")</f>
        <v/>
      </c>
      <c r="C19" s="101"/>
      <c r="D19" s="99"/>
      <c r="E19" s="111" t="str">
        <f>IF('2.1'!D19+'2.1'!J19&lt;&gt;0,'2.1'!D19+'2.1'!J19,"")</f>
        <v/>
      </c>
      <c r="F19" s="99"/>
      <c r="G19" s="100"/>
      <c r="H19" s="99"/>
      <c r="I19" s="111" t="str">
        <f>IF('2.1'!F19+'2.1'!L19&lt;&gt;0,'2.1'!F19+'2.1'!L19,"")</f>
        <v/>
      </c>
      <c r="J19" s="112"/>
    </row>
    <row r="20" spans="1:10">
      <c r="A20" t="str">
        <f>IF('1'!$A28&lt;&gt;0,'1'!$A28,"")</f>
        <v/>
      </c>
      <c r="B20" t="str">
        <f>IF('1'!$B28&lt;&gt;0,'1'!$B28,"")</f>
        <v/>
      </c>
      <c r="C20" s="101"/>
      <c r="D20" s="99"/>
      <c r="E20" s="111" t="str">
        <f>IF('2.1'!D20+'2.1'!J20&lt;&gt;0,'2.1'!D20+'2.1'!J20,"")</f>
        <v/>
      </c>
      <c r="F20" s="99"/>
      <c r="G20" s="100"/>
      <c r="H20" s="99"/>
      <c r="I20" s="111" t="str">
        <f>IF('2.1'!F20+'2.1'!L20&lt;&gt;0,'2.1'!F20+'2.1'!L20,"")</f>
        <v/>
      </c>
      <c r="J20" s="112"/>
    </row>
    <row r="21" spans="1:10">
      <c r="A21" t="str">
        <f>IF('1'!$A29&lt;&gt;0,'1'!$A29,"")</f>
        <v/>
      </c>
      <c r="B21" t="str">
        <f>IF('1'!$B29&lt;&gt;0,'1'!$B29,"")</f>
        <v/>
      </c>
      <c r="C21" s="101"/>
      <c r="D21" s="99"/>
      <c r="E21" s="111" t="str">
        <f>IF('2.1'!D21+'2.1'!J21&lt;&gt;0,'2.1'!D21+'2.1'!J21,"")</f>
        <v/>
      </c>
      <c r="F21" s="99"/>
      <c r="G21" s="100"/>
      <c r="H21" s="99"/>
      <c r="I21" s="111" t="str">
        <f>IF('2.1'!F21+'2.1'!L21&lt;&gt;0,'2.1'!F21+'2.1'!L21,"")</f>
        <v/>
      </c>
      <c r="J21" s="112"/>
    </row>
    <row r="22" spans="1:10">
      <c r="A22" t="str">
        <f>IF('1'!$A30&lt;&gt;0,'1'!$A30,"")</f>
        <v/>
      </c>
      <c r="B22" t="str">
        <f>IF('1'!$B30&lt;&gt;0,'1'!$B30,"")</f>
        <v/>
      </c>
      <c r="C22" s="101"/>
      <c r="D22" s="99"/>
      <c r="E22" s="111" t="str">
        <f>IF('2.1'!D22+'2.1'!J22&lt;&gt;0,'2.1'!D22+'2.1'!J22,"")</f>
        <v/>
      </c>
      <c r="F22" s="99"/>
      <c r="G22" s="100"/>
      <c r="H22" s="99"/>
      <c r="I22" s="111" t="str">
        <f>IF('2.1'!F22+'2.1'!L22&lt;&gt;0,'2.1'!F22+'2.1'!L22,"")</f>
        <v/>
      </c>
      <c r="J22" s="112"/>
    </row>
    <row r="23" spans="1:10">
      <c r="A23" t="str">
        <f>IF('1'!$A31&lt;&gt;0,'1'!$A31,"")</f>
        <v/>
      </c>
      <c r="B23" t="str">
        <f>IF('1'!$B31&lt;&gt;0,'1'!$B31,"")</f>
        <v/>
      </c>
      <c r="C23" s="101"/>
      <c r="D23" s="99"/>
      <c r="E23" s="111" t="str">
        <f>IF('2.1'!D23+'2.1'!J23&lt;&gt;0,'2.1'!D23+'2.1'!J23,"")</f>
        <v/>
      </c>
      <c r="F23" s="99"/>
      <c r="G23" s="100"/>
      <c r="H23" s="99"/>
      <c r="I23" s="111" t="str">
        <f>IF('2.1'!F23+'2.1'!L23&lt;&gt;0,'2.1'!F23+'2.1'!L23,"")</f>
        <v/>
      </c>
      <c r="J23" s="112"/>
    </row>
    <row r="24" spans="1:10">
      <c r="A24" t="str">
        <f>IF('1'!$A32&lt;&gt;0,'1'!$A32,"")</f>
        <v/>
      </c>
      <c r="B24" t="str">
        <f>IF('1'!$B32&lt;&gt;0,'1'!$B32,"")</f>
        <v/>
      </c>
      <c r="C24" s="101"/>
      <c r="D24" s="99"/>
      <c r="E24" s="111" t="str">
        <f>IF('2.1'!D24+'2.1'!J24&lt;&gt;0,'2.1'!D24+'2.1'!J24,"")</f>
        <v/>
      </c>
      <c r="F24" s="99"/>
      <c r="G24" s="100"/>
      <c r="H24" s="99"/>
      <c r="I24" s="111" t="str">
        <f>IF('2.1'!F24+'2.1'!L24&lt;&gt;0,'2.1'!F24+'2.1'!L24,"")</f>
        <v/>
      </c>
      <c r="J24" s="112"/>
    </row>
    <row r="25" spans="1:10">
      <c r="A25" t="str">
        <f>IF('1'!$A33&lt;&gt;0,'1'!$A33,"")</f>
        <v/>
      </c>
      <c r="B25" t="str">
        <f>IF('1'!$B33&lt;&gt;0,'1'!$B33,"")</f>
        <v/>
      </c>
      <c r="C25" s="101"/>
      <c r="D25" s="99"/>
      <c r="E25" s="111" t="str">
        <f>IF('2.1'!D25+'2.1'!J25&lt;&gt;0,'2.1'!D25+'2.1'!J25,"")</f>
        <v/>
      </c>
      <c r="F25" s="99"/>
      <c r="G25" s="100"/>
      <c r="H25" s="99"/>
      <c r="I25" s="111" t="str">
        <f>IF('2.1'!F25+'2.1'!L25&lt;&gt;0,'2.1'!F25+'2.1'!L25,"")</f>
        <v/>
      </c>
      <c r="J25" s="112"/>
    </row>
    <row r="26" spans="1:10">
      <c r="A26" t="str">
        <f>IF('1'!$A34&lt;&gt;0,'1'!$A34,"")</f>
        <v/>
      </c>
      <c r="B26" t="str">
        <f>IF('1'!$B34&lt;&gt;0,'1'!$B34,"")</f>
        <v/>
      </c>
      <c r="C26" s="101"/>
      <c r="D26" s="99"/>
      <c r="E26" s="111" t="str">
        <f>IF('2.1'!D26+'2.1'!J26&lt;&gt;0,'2.1'!D26+'2.1'!J26,"")</f>
        <v/>
      </c>
      <c r="F26" s="99"/>
      <c r="G26" s="100"/>
      <c r="H26" s="99"/>
      <c r="I26" s="111" t="str">
        <f>IF('2.1'!F26+'2.1'!L26&lt;&gt;0,'2.1'!F26+'2.1'!L26,"")</f>
        <v/>
      </c>
      <c r="J26" s="112"/>
    </row>
    <row r="27" spans="1:10">
      <c r="A27" t="str">
        <f>IF('1'!$A35&lt;&gt;0,'1'!$A35,"")</f>
        <v/>
      </c>
      <c r="B27" t="str">
        <f>IF('1'!$B35&lt;&gt;0,'1'!$B35,"")</f>
        <v/>
      </c>
      <c r="C27" s="101"/>
      <c r="D27" s="99"/>
      <c r="E27" s="111" t="str">
        <f>IF('2.1'!D27+'2.1'!J27&lt;&gt;0,'2.1'!D27+'2.1'!J27,"")</f>
        <v/>
      </c>
      <c r="F27" s="99"/>
      <c r="G27" s="100"/>
      <c r="H27" s="99"/>
      <c r="I27" s="111" t="str">
        <f>IF('2.1'!F27+'2.1'!L27&lt;&gt;0,'2.1'!F27+'2.1'!L27,"")</f>
        <v/>
      </c>
      <c r="J27" s="112"/>
    </row>
    <row r="28" spans="1:10">
      <c r="A28" t="str">
        <f>IF('1'!$A36&lt;&gt;0,'1'!$A36,"")</f>
        <v/>
      </c>
      <c r="B28" t="str">
        <f>IF('1'!$B36&lt;&gt;0,'1'!$B36,"")</f>
        <v/>
      </c>
      <c r="C28" s="101"/>
      <c r="D28" s="99"/>
      <c r="E28" s="111" t="str">
        <f>IF('2.1'!D28+'2.1'!J28&lt;&gt;0,'2.1'!D28+'2.1'!J28,"")</f>
        <v/>
      </c>
      <c r="F28" s="99"/>
      <c r="G28" s="100"/>
      <c r="H28" s="99"/>
      <c r="I28" s="111" t="str">
        <f>IF('2.1'!F28+'2.1'!L28&lt;&gt;0,'2.1'!F28+'2.1'!L28,"")</f>
        <v/>
      </c>
      <c r="J28" s="112"/>
    </row>
    <row r="29" spans="1:10">
      <c r="A29" t="str">
        <f>IF('1'!$A37&lt;&gt;0,'1'!$A37,"")</f>
        <v/>
      </c>
      <c r="B29" t="str">
        <f>IF('1'!$B37&lt;&gt;0,'1'!$B37,"")</f>
        <v/>
      </c>
      <c r="C29" s="101"/>
      <c r="D29" s="99"/>
      <c r="E29" s="111" t="str">
        <f>IF('2.1'!D29+'2.1'!J29&lt;&gt;0,'2.1'!D29+'2.1'!J29,"")</f>
        <v/>
      </c>
      <c r="F29" s="99"/>
      <c r="G29" s="100"/>
      <c r="H29" s="99"/>
      <c r="I29" s="111" t="str">
        <f>IF('2.1'!F29+'2.1'!L29&lt;&gt;0,'2.1'!F29+'2.1'!L29,"")</f>
        <v/>
      </c>
      <c r="J29" s="112"/>
    </row>
    <row r="30" spans="1:10">
      <c r="A30" t="str">
        <f>IF('1'!$A38&lt;&gt;0,'1'!$A38,"")</f>
        <v/>
      </c>
      <c r="B30" t="str">
        <f>IF('1'!$B38&lt;&gt;0,'1'!$B38,"")</f>
        <v/>
      </c>
      <c r="C30" s="101"/>
      <c r="D30" s="99"/>
      <c r="E30" s="111" t="str">
        <f>IF('2.1'!D30+'2.1'!J30&lt;&gt;0,'2.1'!D30+'2.1'!J30,"")</f>
        <v/>
      </c>
      <c r="F30" s="99"/>
      <c r="G30" s="100"/>
      <c r="H30" s="99"/>
      <c r="I30" s="111" t="str">
        <f>IF('2.1'!F30+'2.1'!L30&lt;&gt;0,'2.1'!F30+'2.1'!L30,"")</f>
        <v/>
      </c>
      <c r="J30" s="112"/>
    </row>
    <row r="31" spans="1:10">
      <c r="A31" t="str">
        <f>IF('1'!$A39&lt;&gt;0,'1'!$A39,"")</f>
        <v/>
      </c>
      <c r="B31" t="str">
        <f>IF('1'!$B39&lt;&gt;0,'1'!$B39,"")</f>
        <v/>
      </c>
      <c r="C31" s="101"/>
      <c r="D31" s="99"/>
      <c r="E31" s="111" t="str">
        <f>IF('2.1'!D31+'2.1'!J31&lt;&gt;0,'2.1'!D31+'2.1'!J31,"")</f>
        <v/>
      </c>
      <c r="F31" s="99"/>
      <c r="G31" s="100"/>
      <c r="H31" s="99"/>
      <c r="I31" s="111" t="str">
        <f>IF('2.1'!F31+'2.1'!L31&lt;&gt;0,'2.1'!F31+'2.1'!L31,"")</f>
        <v/>
      </c>
      <c r="J31" s="112"/>
    </row>
    <row r="32" spans="1:10">
      <c r="A32" t="str">
        <f>IF('1'!$A40&lt;&gt;0,'1'!$A40,"")</f>
        <v/>
      </c>
      <c r="B32" t="str">
        <f>IF('1'!$B40&lt;&gt;0,'1'!$B40,"")</f>
        <v/>
      </c>
      <c r="C32" s="101"/>
      <c r="D32" s="99"/>
      <c r="E32" s="111" t="str">
        <f>IF('2.1'!D32+'2.1'!J32&lt;&gt;0,'2.1'!D32+'2.1'!J32,"")</f>
        <v/>
      </c>
      <c r="F32" s="99"/>
      <c r="G32" s="100"/>
      <c r="H32" s="99"/>
      <c r="I32" s="111" t="str">
        <f>IF('2.1'!F32+'2.1'!L32&lt;&gt;0,'2.1'!F32+'2.1'!L32,"")</f>
        <v/>
      </c>
      <c r="J32" s="112"/>
    </row>
    <row r="33" spans="1:15">
      <c r="A33" t="str">
        <f>IF('1'!$A41&lt;&gt;0,'1'!$A41,"")</f>
        <v/>
      </c>
      <c r="B33" t="str">
        <f>IF('1'!$B41&lt;&gt;0,'1'!$B41,"")</f>
        <v/>
      </c>
      <c r="C33" s="101"/>
      <c r="D33" s="99"/>
      <c r="E33" s="111" t="str">
        <f>IF('2.1'!D33+'2.1'!J33&lt;&gt;0,'2.1'!D33+'2.1'!J33,"")</f>
        <v/>
      </c>
      <c r="F33" s="99"/>
      <c r="G33" s="100"/>
      <c r="H33" s="99"/>
      <c r="I33" s="111" t="str">
        <f>IF('2.1'!F33+'2.1'!L33&lt;&gt;0,'2.1'!F33+'2.1'!L33,"")</f>
        <v/>
      </c>
      <c r="J33" s="112"/>
    </row>
    <row r="34" spans="1:15">
      <c r="A34" t="str">
        <f>IF('1'!$A42&lt;&gt;0,'1'!$A42,"")</f>
        <v/>
      </c>
      <c r="B34" t="str">
        <f>IF('1'!$B42&lt;&gt;0,'1'!$B42,"")</f>
        <v/>
      </c>
      <c r="C34" s="101"/>
      <c r="D34" s="99"/>
      <c r="E34" s="111" t="str">
        <f>IF('2.1'!D34+'2.1'!J34&lt;&gt;0,'2.1'!D34+'2.1'!J34,"")</f>
        <v/>
      </c>
      <c r="F34" s="99"/>
      <c r="G34" s="100"/>
      <c r="H34" s="99"/>
      <c r="I34" s="111" t="str">
        <f>IF('2.1'!F34+'2.1'!L34&lt;&gt;0,'2.1'!F34+'2.1'!L34,"")</f>
        <v/>
      </c>
      <c r="J34" s="112"/>
    </row>
    <row r="35" spans="1:15">
      <c r="A35" t="str">
        <f>IF('1'!$A43&lt;&gt;0,'1'!$A43,"")</f>
        <v/>
      </c>
      <c r="B35" t="str">
        <f>IF('1'!$B43&lt;&gt;0,'1'!$B43,"")</f>
        <v/>
      </c>
      <c r="C35" s="101"/>
      <c r="D35" s="99"/>
      <c r="E35" s="111" t="str">
        <f>IF('2.1'!D35+'2.1'!J35&lt;&gt;0,'2.1'!D35+'2.1'!J35,"")</f>
        <v/>
      </c>
      <c r="F35" s="99"/>
      <c r="G35" s="100"/>
      <c r="H35" s="99"/>
      <c r="I35" s="111" t="str">
        <f>IF('2.1'!F35+'2.1'!L35&lt;&gt;0,'2.1'!F35+'2.1'!L35,"")</f>
        <v/>
      </c>
      <c r="J35" s="112"/>
    </row>
    <row r="36" spans="1:15">
      <c r="A36" t="str">
        <f>IF('1'!$A44&lt;&gt;0,'1'!$A44,"")</f>
        <v/>
      </c>
      <c r="B36" t="str">
        <f>IF('1'!$B44&lt;&gt;0,'1'!$B44,"")</f>
        <v/>
      </c>
      <c r="C36" s="101"/>
      <c r="D36" s="99"/>
      <c r="E36" s="111" t="str">
        <f>IF('2.1'!D36+'2.1'!J36&lt;&gt;0,'2.1'!D36+'2.1'!J36,"")</f>
        <v/>
      </c>
      <c r="F36" s="99"/>
      <c r="G36" s="100"/>
      <c r="H36" s="99"/>
      <c r="I36" s="111" t="str">
        <f>IF('2.1'!F36+'2.1'!L36&lt;&gt;0,'2.1'!F36+'2.1'!L36,"")</f>
        <v/>
      </c>
      <c r="J36" s="112"/>
    </row>
    <row r="37" spans="1:15">
      <c r="A37" t="str">
        <f>IF('1'!$A45&lt;&gt;0,'1'!$A45,"")</f>
        <v/>
      </c>
      <c r="B37" t="str">
        <f>IF('1'!$B45&lt;&gt;0,'1'!$B45,"")</f>
        <v/>
      </c>
      <c r="C37" s="101"/>
      <c r="D37" s="99"/>
      <c r="E37" s="111" t="str">
        <f>IF('2.1'!D37+'2.1'!J37&lt;&gt;0,'2.1'!D37+'2.1'!J37,"")</f>
        <v/>
      </c>
      <c r="F37" s="99"/>
      <c r="G37" s="100"/>
      <c r="H37" s="99"/>
      <c r="I37" s="111" t="str">
        <f>IF('2.1'!F37+'2.1'!L37&lt;&gt;0,'2.1'!F37+'2.1'!L37,"")</f>
        <v/>
      </c>
      <c r="J37" s="112"/>
    </row>
    <row r="38" spans="1:15">
      <c r="A38" t="str">
        <f>IF('1'!$A46&lt;&gt;0,'1'!$A46,"")</f>
        <v/>
      </c>
      <c r="B38" t="str">
        <f>IF('1'!$B46&lt;&gt;0,'1'!$B46,"")</f>
        <v/>
      </c>
      <c r="C38" s="101"/>
      <c r="D38" s="99"/>
      <c r="E38" s="111" t="str">
        <f>IF('2.1'!D38+'2.1'!J38&lt;&gt;0,'2.1'!D38+'2.1'!J38,"")</f>
        <v/>
      </c>
      <c r="F38" s="99"/>
      <c r="G38" s="100"/>
      <c r="H38" s="99"/>
      <c r="I38" s="111" t="str">
        <f>IF('2.1'!F38+'2.1'!L38&lt;&gt;0,'2.1'!F38+'2.1'!L38,"")</f>
        <v/>
      </c>
      <c r="J38" s="112"/>
    </row>
    <row r="39" spans="1:15">
      <c r="A39" t="str">
        <f>IF('1'!$A47&lt;&gt;0,'1'!$A47,"")</f>
        <v/>
      </c>
      <c r="B39" t="str">
        <f>IF('1'!$B47&lt;&gt;0,'1'!$B47,"")</f>
        <v/>
      </c>
      <c r="C39" s="101"/>
      <c r="D39" s="99"/>
      <c r="E39" s="111" t="str">
        <f>IF('2.1'!D39+'2.1'!J39&lt;&gt;0,'2.1'!D39+'2.1'!J39,"")</f>
        <v/>
      </c>
      <c r="F39" s="99"/>
      <c r="G39" s="100"/>
      <c r="H39" s="99"/>
      <c r="I39" s="111" t="str">
        <f>IF('2.1'!F39+'2.1'!L39&lt;&gt;0,'2.1'!F39+'2.1'!L39,"")</f>
        <v/>
      </c>
      <c r="J39" s="112"/>
    </row>
    <row r="40" spans="1:15">
      <c r="A40" t="str">
        <f>IF('1'!$A48&lt;&gt;0,'1'!$A48,"")</f>
        <v/>
      </c>
      <c r="B40" t="str">
        <f>IF('1'!$B48&lt;&gt;0,'1'!$B48,"")</f>
        <v/>
      </c>
      <c r="C40" s="101"/>
      <c r="D40" s="99"/>
      <c r="E40" s="111" t="str">
        <f>IF('2.1'!D40+'2.1'!J40&lt;&gt;0,'2.1'!D40+'2.1'!J40,"")</f>
        <v/>
      </c>
      <c r="F40" s="99"/>
      <c r="G40" s="100"/>
      <c r="H40" s="99"/>
      <c r="I40" s="111" t="str">
        <f>IF('2.1'!F40+'2.1'!L40&lt;&gt;0,'2.1'!F40+'2.1'!L40,"")</f>
        <v/>
      </c>
      <c r="J40" s="112"/>
    </row>
    <row r="41" spans="1:15">
      <c r="A41" t="str">
        <f>IF('1'!$A49&lt;&gt;0,'1'!$A49,"")</f>
        <v/>
      </c>
      <c r="B41" t="str">
        <f>IF('1'!$B49&lt;&gt;0,'1'!$B49,"")</f>
        <v/>
      </c>
      <c r="C41" s="101"/>
      <c r="D41" s="99"/>
      <c r="E41" s="111" t="str">
        <f>IF('2.1'!D41+'2.1'!J41&lt;&gt;0,'2.1'!D41+'2.1'!J41,"")</f>
        <v/>
      </c>
      <c r="F41" s="99"/>
      <c r="G41" s="100"/>
      <c r="H41" s="99"/>
      <c r="I41" s="111" t="str">
        <f>IF('2.1'!F41+'2.1'!L41&lt;&gt;0,'2.1'!F41+'2.1'!L41,"")</f>
        <v/>
      </c>
      <c r="J41" s="112"/>
    </row>
    <row r="42" spans="1:15">
      <c r="A42" t="str">
        <f>IF('1'!$A50&lt;&gt;0,'1'!$A50,"")</f>
        <v/>
      </c>
      <c r="B42" t="str">
        <f>IF('1'!$B50&lt;&gt;0,'1'!$B50,"")</f>
        <v/>
      </c>
      <c r="C42" s="101"/>
      <c r="D42" s="99"/>
      <c r="E42" s="111" t="str">
        <f>IF('2.1'!D42+'2.1'!J42&lt;&gt;0,'2.1'!D42+'2.1'!J42,"")</f>
        <v/>
      </c>
      <c r="F42" s="99"/>
      <c r="G42" s="100"/>
      <c r="H42" s="99"/>
      <c r="I42" s="111" t="str">
        <f>IF('2.1'!F42+'2.1'!L42&lt;&gt;0,'2.1'!F42+'2.1'!L42,"")</f>
        <v/>
      </c>
      <c r="J42" s="112"/>
    </row>
    <row r="43" spans="1:15">
      <c r="A43" t="str">
        <f>IF('1'!$A51&lt;&gt;0,'1'!$A51,"")</f>
        <v/>
      </c>
      <c r="B43" t="str">
        <f>IF('1'!$B51&lt;&gt;0,'1'!$B51,"")</f>
        <v/>
      </c>
      <c r="C43" s="101"/>
      <c r="D43" s="99"/>
      <c r="E43" s="111" t="str">
        <f>IF('2.1'!D43+'2.1'!J43&lt;&gt;0,'2.1'!D43+'2.1'!J43,"")</f>
        <v/>
      </c>
      <c r="F43" s="99"/>
      <c r="G43" s="100"/>
      <c r="H43" s="99"/>
      <c r="I43" s="111" t="str">
        <f>IF('2.1'!F43+'2.1'!L43&lt;&gt;0,'2.1'!F43+'2.1'!L43,"")</f>
        <v/>
      </c>
      <c r="J43" s="112"/>
    </row>
    <row r="44" spans="1:15">
      <c r="A44" t="str">
        <f>IF('1'!$A52&lt;&gt;0,'1'!$A52,"")</f>
        <v/>
      </c>
      <c r="B44" t="str">
        <f>IF('1'!$B52&lt;&gt;0,'1'!$B52,"")</f>
        <v/>
      </c>
      <c r="C44" s="101"/>
      <c r="D44" s="99"/>
      <c r="E44" s="111" t="str">
        <f>IF('2.1'!D44+'2.1'!J44&lt;&gt;0,'2.1'!D44+'2.1'!J44,"")</f>
        <v/>
      </c>
      <c r="F44" s="99"/>
      <c r="G44" s="100"/>
      <c r="H44" s="99"/>
      <c r="I44" s="111" t="str">
        <f>IF('2.1'!F44+'2.1'!L44&lt;&gt;0,'2.1'!F44+'2.1'!L44,"")</f>
        <v/>
      </c>
      <c r="J44" s="112"/>
    </row>
    <row r="45" spans="1:15">
      <c r="A45" t="str">
        <f>IF('1'!$A53&lt;&gt;0,'1'!$A53,"")</f>
        <v/>
      </c>
      <c r="B45" t="str">
        <f>IF('1'!$B53&lt;&gt;0,'1'!$B53,"")</f>
        <v/>
      </c>
      <c r="C45" s="101"/>
      <c r="D45" s="99"/>
      <c r="E45" s="111" t="str">
        <f>IF('2.1'!D45+'2.1'!J45&lt;&gt;0,'2.1'!D45+'2.1'!J45,"")</f>
        <v/>
      </c>
      <c r="F45" s="99"/>
      <c r="G45" s="100"/>
      <c r="H45" s="99"/>
      <c r="I45" s="111" t="str">
        <f>IF('2.1'!F45+'2.1'!L45&lt;&gt;0,'2.1'!F45+'2.1'!L45,"")</f>
        <v/>
      </c>
      <c r="J45" s="112"/>
    </row>
    <row r="46" spans="1:15">
      <c r="A46" t="str">
        <f>IF('1'!$A54&lt;&gt;0,'1'!$A54,"")</f>
        <v/>
      </c>
      <c r="B46" t="str">
        <f>IF('1'!$B54&lt;&gt;0,'1'!$B54,"")</f>
        <v/>
      </c>
      <c r="C46" s="104"/>
      <c r="D46" s="105"/>
      <c r="E46" s="113" t="str">
        <f>IF('2.1'!D46+'2.1'!J46&lt;&gt;0,'2.1'!D46+'2.1'!J46,"")</f>
        <v/>
      </c>
      <c r="F46" s="105"/>
      <c r="G46" s="108"/>
      <c r="H46" s="105"/>
      <c r="I46" s="113" t="str">
        <f>IF('2.1'!F46+'2.1'!L46&lt;&gt;0,'2.1'!F46+'2.1'!L46,"")</f>
        <v/>
      </c>
      <c r="J46" s="114"/>
    </row>
    <row r="47" spans="1:15">
      <c r="C47" s="115">
        <f t="shared" ref="C47:J47" si="0">SUM(C7:C46)</f>
        <v>0</v>
      </c>
      <c r="D47" s="115">
        <f t="shared" si="0"/>
        <v>0</v>
      </c>
      <c r="E47" s="115">
        <f t="shared" si="0"/>
        <v>0</v>
      </c>
      <c r="F47" s="115">
        <f t="shared" si="0"/>
        <v>0</v>
      </c>
      <c r="G47" s="115">
        <f t="shared" si="0"/>
        <v>0</v>
      </c>
      <c r="H47" s="115">
        <f t="shared" si="0"/>
        <v>0</v>
      </c>
      <c r="I47" s="115">
        <f t="shared" si="0"/>
        <v>0</v>
      </c>
      <c r="J47" s="115">
        <f t="shared" si="0"/>
        <v>0</v>
      </c>
      <c r="K47" s="29"/>
      <c r="L47" s="29"/>
      <c r="M47" s="29"/>
      <c r="N47" s="29"/>
      <c r="O47" s="29"/>
    </row>
  </sheetData>
  <sheetProtection sheet="1" selectLockedCells="1"/>
  <mergeCells count="3">
    <mergeCell ref="C5:F5"/>
    <mergeCell ref="G5:J5"/>
    <mergeCell ref="C1:D1"/>
  </mergeCells>
  <hyperlinks>
    <hyperlink ref="C1" location="'Juhend-Руководство-Instructions'!A1" display="Руководство" xr:uid="{00000000-0004-0000-0300-000000000000}"/>
  </hyperlink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N47"/>
  <sheetViews>
    <sheetView topLeftCell="B1" zoomScale="180" zoomScaleNormal="180" workbookViewId="0">
      <selection activeCell="B4" sqref="B4"/>
    </sheetView>
  </sheetViews>
  <sheetFormatPr baseColWidth="10" defaultColWidth="10.83203125" defaultRowHeight="16" outlineLevelCol="1"/>
  <cols>
    <col min="1" max="1" width="64.5" style="3" hidden="1" customWidth="1" outlineLevel="1"/>
    <col min="2" max="2" width="36.5" style="3" customWidth="1" collapsed="1"/>
    <col min="3" max="4" width="15.83203125" style="3" customWidth="1"/>
    <col min="5" max="5" width="16.83203125" style="3" customWidth="1"/>
    <col min="6" max="7" width="15.83203125" style="3" customWidth="1"/>
    <col min="8" max="8" width="17" style="3" customWidth="1"/>
    <col min="9" max="9" width="10.83203125" style="3" customWidth="1"/>
    <col min="10" max="16384" width="10.83203125" style="3"/>
  </cols>
  <sheetData>
    <row r="1" spans="1:8" ht="17" customHeight="1">
      <c r="A1" s="10"/>
      <c r="B1" s="27" t="str">
        <f>IF(Language="Eesti keel", "Müügid ja ostud",IF(Language="Русский язык", "ПРОДАЖИ И ЗАКУПКИ","Sales and purchases"))</f>
        <v>Müügid ja ostud</v>
      </c>
      <c r="C1" s="139" t="s">
        <v>6</v>
      </c>
      <c r="D1" s="140"/>
    </row>
    <row r="2" spans="1:8">
      <c r="A2" s="27"/>
      <c r="B2" s="93" t="str">
        <f>_xlfn.XLOOKUP("companies__name",var!$A:$A,var!$C:$C)</f>
        <v>RTS Infra Eesti OÜ</v>
      </c>
      <c r="C2" s="94">
        <f>_xlfn.XLOOKUP("projects__annual_report_end",var!$A:$A,var!$C:$C)</f>
        <v>45291</v>
      </c>
    </row>
    <row r="3" spans="1:8" ht="17" customHeight="1">
      <c r="A3" s="28"/>
    </row>
    <row r="5" spans="1:8">
      <c r="C5" s="151" t="str">
        <f>IF(Language="Eesti keel", "MÜÜDUD",IF(Language="Русский язык", "ПРОДАЖИ","SALES"))</f>
        <v>MÜÜDUD</v>
      </c>
      <c r="D5" s="152"/>
      <c r="E5" s="152"/>
      <c r="F5" s="154" t="str">
        <f>IF(Language="Eesti keel", "OSTETUD",IF(Language="Русский язык", "ПОКУПКА","PURCHASES"))</f>
        <v>OSTETUD</v>
      </c>
      <c r="G5" s="152"/>
      <c r="H5" s="155"/>
    </row>
    <row r="6" spans="1:8" ht="34" customHeight="1">
      <c r="A6" s="9" t="s">
        <v>7</v>
      </c>
      <c r="B6" s="9" t="str">
        <f>'1'!$B$14</f>
        <v>SEOTUD ISIKU NIMI</v>
      </c>
      <c r="C6" s="30" t="str">
        <f>IF(Language="Eesti keel", "Kaubad",IF(Language="Русский язык", "Товаров","Goods"))</f>
        <v>Kaubad</v>
      </c>
      <c r="D6" s="30" t="str">
        <f>IF(Language="Eesti keel", "Teenused",IF(Language="Русский язык", "Услуг ","Services"))</f>
        <v>Teenused</v>
      </c>
      <c r="E6" s="31" t="str">
        <f>IF(Language="Eesti keel", "Põhivarad",IF(Language="Русский язык", "Основного имущества","Non-current assets"))</f>
        <v>Põhivarad</v>
      </c>
      <c r="F6" s="32" t="str">
        <f>C6</f>
        <v>Kaubad</v>
      </c>
      <c r="G6" s="30" t="str">
        <f>D6</f>
        <v>Teenused</v>
      </c>
      <c r="H6" s="30" t="str">
        <f>E6</f>
        <v>Põhivarad</v>
      </c>
    </row>
    <row r="7" spans="1:8">
      <c r="A7" t="str">
        <f>IF('1'!$A15&lt;&gt;0,'1'!$A15,"")</f>
        <v/>
      </c>
      <c r="B7" t="str">
        <f>IF('1'!$B15&lt;&gt;0,'1'!$B15,"")</f>
        <v/>
      </c>
      <c r="C7" s="101"/>
      <c r="D7" s="99"/>
      <c r="E7" s="99"/>
      <c r="F7" s="100"/>
      <c r="G7" s="99"/>
      <c r="H7" s="102"/>
    </row>
    <row r="8" spans="1:8">
      <c r="A8" t="str">
        <f>IF('1'!$A16&lt;&gt;0,'1'!$A16,"")</f>
        <v/>
      </c>
      <c r="B8" t="str">
        <f>IF('1'!$B16&lt;&gt;0,'1'!$B16,"")</f>
        <v/>
      </c>
      <c r="C8" s="101"/>
      <c r="D8" s="99"/>
      <c r="E8" s="99"/>
      <c r="F8" s="100"/>
      <c r="G8" s="99"/>
      <c r="H8" s="102"/>
    </row>
    <row r="9" spans="1:8">
      <c r="A9" t="str">
        <f>IF('1'!$A17&lt;&gt;0,'1'!$A17,"")</f>
        <v/>
      </c>
      <c r="B9" t="str">
        <f>IF('1'!$B17&lt;&gt;0,'1'!$B17,"")</f>
        <v/>
      </c>
      <c r="C9" s="101"/>
      <c r="D9" s="99"/>
      <c r="E9" s="99"/>
      <c r="F9" s="100"/>
      <c r="G9" s="99"/>
      <c r="H9" s="102"/>
    </row>
    <row r="10" spans="1:8">
      <c r="A10" t="str">
        <f>IF('1'!$A18&lt;&gt;0,'1'!$A18,"")</f>
        <v/>
      </c>
      <c r="B10" t="str">
        <f>IF('1'!$B18&lt;&gt;0,'1'!$B18,"")</f>
        <v/>
      </c>
      <c r="C10" s="101"/>
      <c r="D10" s="99"/>
      <c r="E10" s="99"/>
      <c r="F10" s="100"/>
      <c r="G10" s="99"/>
      <c r="H10" s="102"/>
    </row>
    <row r="11" spans="1:8">
      <c r="A11" t="str">
        <f>IF('1'!$A19&lt;&gt;0,'1'!$A19,"")</f>
        <v/>
      </c>
      <c r="B11" t="str">
        <f>IF('1'!$B19&lt;&gt;0,'1'!$B19,"")</f>
        <v/>
      </c>
      <c r="C11" s="101"/>
      <c r="D11" s="99"/>
      <c r="E11" s="99"/>
      <c r="F11" s="100"/>
      <c r="G11" s="99"/>
      <c r="H11" s="102"/>
    </row>
    <row r="12" spans="1:8">
      <c r="A12" t="str">
        <f>IF('1'!$A20&lt;&gt;0,'1'!$A20,"")</f>
        <v/>
      </c>
      <c r="B12" t="str">
        <f>IF('1'!$B20&lt;&gt;0,'1'!$B20,"")</f>
        <v/>
      </c>
      <c r="C12" s="101"/>
      <c r="D12" s="99"/>
      <c r="E12" s="99"/>
      <c r="F12" s="100"/>
      <c r="G12" s="99"/>
      <c r="H12" s="102"/>
    </row>
    <row r="13" spans="1:8">
      <c r="A13" t="str">
        <f>IF('1'!$A21&lt;&gt;0,'1'!$A21,"")</f>
        <v/>
      </c>
      <c r="B13" t="str">
        <f>IF('1'!$B21&lt;&gt;0,'1'!$B21,"")</f>
        <v/>
      </c>
      <c r="C13" s="101"/>
      <c r="D13" s="99"/>
      <c r="E13" s="99"/>
      <c r="F13" s="100"/>
      <c r="G13" s="99"/>
      <c r="H13" s="102"/>
    </row>
    <row r="14" spans="1:8">
      <c r="A14" t="str">
        <f>IF('1'!$A22&lt;&gt;0,'1'!$A22,"")</f>
        <v/>
      </c>
      <c r="B14" t="str">
        <f>IF('1'!$B22&lt;&gt;0,'1'!$B22,"")</f>
        <v/>
      </c>
      <c r="C14" s="101"/>
      <c r="D14" s="99"/>
      <c r="E14" s="99"/>
      <c r="F14" s="100"/>
      <c r="G14" s="99"/>
      <c r="H14" s="102"/>
    </row>
    <row r="15" spans="1:8">
      <c r="A15" t="str">
        <f>IF('1'!$A23&lt;&gt;0,'1'!$A23,"")</f>
        <v/>
      </c>
      <c r="B15" t="str">
        <f>IF('1'!$B23&lt;&gt;0,'1'!$B23,"")</f>
        <v/>
      </c>
      <c r="C15" s="101"/>
      <c r="D15" s="99"/>
      <c r="E15" s="99"/>
      <c r="F15" s="100"/>
      <c r="G15" s="99"/>
      <c r="H15" s="102"/>
    </row>
    <row r="16" spans="1:8">
      <c r="A16" t="str">
        <f>IF('1'!$A24&lt;&gt;0,'1'!$A24,"")</f>
        <v/>
      </c>
      <c r="B16" t="str">
        <f>IF('1'!$B24&lt;&gt;0,'1'!$B24,"")</f>
        <v/>
      </c>
      <c r="C16" s="101"/>
      <c r="D16" s="99"/>
      <c r="E16" s="99"/>
      <c r="F16" s="100"/>
      <c r="G16" s="99"/>
      <c r="H16" s="102"/>
    </row>
    <row r="17" spans="1:8">
      <c r="A17" t="str">
        <f>IF('1'!$A25&lt;&gt;0,'1'!$A25,"")</f>
        <v/>
      </c>
      <c r="B17" t="str">
        <f>IF('1'!$B25&lt;&gt;0,'1'!$B25,"")</f>
        <v/>
      </c>
      <c r="C17" s="101"/>
      <c r="D17" s="99"/>
      <c r="E17" s="99"/>
      <c r="F17" s="100"/>
      <c r="G17" s="99"/>
      <c r="H17" s="102"/>
    </row>
    <row r="18" spans="1:8">
      <c r="A18" t="str">
        <f>IF('1'!$A26&lt;&gt;0,'1'!$A26,"")</f>
        <v/>
      </c>
      <c r="B18" t="str">
        <f>IF('1'!$B26&lt;&gt;0,'1'!$B26,"")</f>
        <v/>
      </c>
      <c r="C18" s="101"/>
      <c r="D18" s="99"/>
      <c r="E18" s="99"/>
      <c r="F18" s="100"/>
      <c r="G18" s="99"/>
      <c r="H18" s="102"/>
    </row>
    <row r="19" spans="1:8">
      <c r="A19" t="str">
        <f>IF('1'!$A27&lt;&gt;0,'1'!$A27,"")</f>
        <v/>
      </c>
      <c r="B19" t="str">
        <f>IF('1'!$B27&lt;&gt;0,'1'!$B27,"")</f>
        <v/>
      </c>
      <c r="C19" s="101"/>
      <c r="D19" s="99"/>
      <c r="E19" s="99"/>
      <c r="F19" s="100"/>
      <c r="G19" s="99"/>
      <c r="H19" s="102"/>
    </row>
    <row r="20" spans="1:8">
      <c r="A20" t="str">
        <f>IF('1'!$A28&lt;&gt;0,'1'!$A28,"")</f>
        <v/>
      </c>
      <c r="B20" t="str">
        <f>IF('1'!$B28&lt;&gt;0,'1'!$B28,"")</f>
        <v/>
      </c>
      <c r="C20" s="101"/>
      <c r="D20" s="99"/>
      <c r="E20" s="99"/>
      <c r="F20" s="100"/>
      <c r="G20" s="99"/>
      <c r="H20" s="102"/>
    </row>
    <row r="21" spans="1:8">
      <c r="A21" t="str">
        <f>IF('1'!$A29&lt;&gt;0,'1'!$A29,"")</f>
        <v/>
      </c>
      <c r="B21" t="str">
        <f>IF('1'!$B29&lt;&gt;0,'1'!$B29,"")</f>
        <v/>
      </c>
      <c r="C21" s="101"/>
      <c r="D21" s="99"/>
      <c r="E21" s="99"/>
      <c r="F21" s="100"/>
      <c r="G21" s="99"/>
      <c r="H21" s="102"/>
    </row>
    <row r="22" spans="1:8">
      <c r="A22" t="str">
        <f>IF('1'!$A30&lt;&gt;0,'1'!$A30,"")</f>
        <v/>
      </c>
      <c r="B22" t="str">
        <f>IF('1'!$B30&lt;&gt;0,'1'!$B30,"")</f>
        <v/>
      </c>
      <c r="C22" s="101"/>
      <c r="D22" s="99"/>
      <c r="E22" s="99"/>
      <c r="F22" s="100"/>
      <c r="G22" s="99"/>
      <c r="H22" s="102"/>
    </row>
    <row r="23" spans="1:8">
      <c r="A23" t="str">
        <f>IF('1'!$A31&lt;&gt;0,'1'!$A31,"")</f>
        <v/>
      </c>
      <c r="B23" t="str">
        <f>IF('1'!$B31&lt;&gt;0,'1'!$B31,"")</f>
        <v/>
      </c>
      <c r="C23" s="101"/>
      <c r="D23" s="99"/>
      <c r="E23" s="99"/>
      <c r="F23" s="100"/>
      <c r="G23" s="99"/>
      <c r="H23" s="102"/>
    </row>
    <row r="24" spans="1:8">
      <c r="A24" t="str">
        <f>IF('1'!$A32&lt;&gt;0,'1'!$A32,"")</f>
        <v/>
      </c>
      <c r="B24" t="str">
        <f>IF('1'!$B32&lt;&gt;0,'1'!$B32,"")</f>
        <v/>
      </c>
      <c r="C24" s="101"/>
      <c r="D24" s="99"/>
      <c r="E24" s="99"/>
      <c r="F24" s="100"/>
      <c r="G24" s="99"/>
      <c r="H24" s="102"/>
    </row>
    <row r="25" spans="1:8">
      <c r="A25" t="str">
        <f>IF('1'!$A33&lt;&gt;0,'1'!$A33,"")</f>
        <v/>
      </c>
      <c r="B25" t="str">
        <f>IF('1'!$B33&lt;&gt;0,'1'!$B33,"")</f>
        <v/>
      </c>
      <c r="C25" s="101"/>
      <c r="D25" s="99"/>
      <c r="E25" s="99"/>
      <c r="F25" s="100"/>
      <c r="G25" s="99"/>
      <c r="H25" s="102"/>
    </row>
    <row r="26" spans="1:8">
      <c r="A26" t="str">
        <f>IF('1'!$A34&lt;&gt;0,'1'!$A34,"")</f>
        <v/>
      </c>
      <c r="B26" t="str">
        <f>IF('1'!$B34&lt;&gt;0,'1'!$B34,"")</f>
        <v/>
      </c>
      <c r="C26" s="101"/>
      <c r="D26" s="99"/>
      <c r="E26" s="99"/>
      <c r="F26" s="100"/>
      <c r="G26" s="99"/>
      <c r="H26" s="102"/>
    </row>
    <row r="27" spans="1:8">
      <c r="A27" t="str">
        <f>IF('1'!$A35&lt;&gt;0,'1'!$A35,"")</f>
        <v/>
      </c>
      <c r="B27" t="str">
        <f>IF('1'!$B35&lt;&gt;0,'1'!$B35,"")</f>
        <v/>
      </c>
      <c r="C27" s="101"/>
      <c r="D27" s="99"/>
      <c r="E27" s="99"/>
      <c r="F27" s="100"/>
      <c r="G27" s="99"/>
      <c r="H27" s="102"/>
    </row>
    <row r="28" spans="1:8">
      <c r="A28" t="str">
        <f>IF('1'!$A36&lt;&gt;0,'1'!$A36,"")</f>
        <v/>
      </c>
      <c r="B28" t="str">
        <f>IF('1'!$B36&lt;&gt;0,'1'!$B36,"")</f>
        <v/>
      </c>
      <c r="C28" s="101"/>
      <c r="D28" s="99"/>
      <c r="E28" s="99"/>
      <c r="F28" s="100"/>
      <c r="G28" s="99"/>
      <c r="H28" s="102"/>
    </row>
    <row r="29" spans="1:8">
      <c r="A29" t="str">
        <f>IF('1'!$A37&lt;&gt;0,'1'!$A37,"")</f>
        <v/>
      </c>
      <c r="B29" t="str">
        <f>IF('1'!$B37&lt;&gt;0,'1'!$B37,"")</f>
        <v/>
      </c>
      <c r="C29" s="101"/>
      <c r="D29" s="99"/>
      <c r="E29" s="99"/>
      <c r="F29" s="100"/>
      <c r="G29" s="99"/>
      <c r="H29" s="102"/>
    </row>
    <row r="30" spans="1:8">
      <c r="A30" t="str">
        <f>IF('1'!$A38&lt;&gt;0,'1'!$A38,"")</f>
        <v/>
      </c>
      <c r="B30" t="str">
        <f>IF('1'!$B38&lt;&gt;0,'1'!$B38,"")</f>
        <v/>
      </c>
      <c r="C30" s="101"/>
      <c r="D30" s="99"/>
      <c r="E30" s="99"/>
      <c r="F30" s="100"/>
      <c r="G30" s="99"/>
      <c r="H30" s="102"/>
    </row>
    <row r="31" spans="1:8">
      <c r="A31" t="str">
        <f>IF('1'!$A39&lt;&gt;0,'1'!$A39,"")</f>
        <v/>
      </c>
      <c r="B31" t="str">
        <f>IF('1'!$B39&lt;&gt;0,'1'!$B39,"")</f>
        <v/>
      </c>
      <c r="C31" s="101"/>
      <c r="D31" s="99"/>
      <c r="E31" s="99"/>
      <c r="F31" s="100"/>
      <c r="G31" s="99"/>
      <c r="H31" s="102"/>
    </row>
    <row r="32" spans="1:8">
      <c r="A32" t="str">
        <f>IF('1'!$A40&lt;&gt;0,'1'!$A40,"")</f>
        <v/>
      </c>
      <c r="B32" t="str">
        <f>IF('1'!$B40&lt;&gt;0,'1'!$B40,"")</f>
        <v/>
      </c>
      <c r="C32" s="101"/>
      <c r="D32" s="99"/>
      <c r="E32" s="99"/>
      <c r="F32" s="100"/>
      <c r="G32" s="99"/>
      <c r="H32" s="102"/>
    </row>
    <row r="33" spans="1:14">
      <c r="A33" t="str">
        <f>IF('1'!$A41&lt;&gt;0,'1'!$A41,"")</f>
        <v/>
      </c>
      <c r="B33" t="str">
        <f>IF('1'!$B41&lt;&gt;0,'1'!$B41,"")</f>
        <v/>
      </c>
      <c r="C33" s="101"/>
      <c r="D33" s="99"/>
      <c r="E33" s="99"/>
      <c r="F33" s="100"/>
      <c r="G33" s="99"/>
      <c r="H33" s="102"/>
    </row>
    <row r="34" spans="1:14">
      <c r="A34" t="str">
        <f>IF('1'!$A42&lt;&gt;0,'1'!$A42,"")</f>
        <v/>
      </c>
      <c r="B34" t="str">
        <f>IF('1'!$B42&lt;&gt;0,'1'!$B42,"")</f>
        <v/>
      </c>
      <c r="C34" s="101"/>
      <c r="D34" s="99"/>
      <c r="E34" s="99"/>
      <c r="F34" s="100"/>
      <c r="G34" s="99"/>
      <c r="H34" s="102"/>
    </row>
    <row r="35" spans="1:14">
      <c r="A35" t="str">
        <f>IF('1'!$A43&lt;&gt;0,'1'!$A43,"")</f>
        <v/>
      </c>
      <c r="B35" t="str">
        <f>IF('1'!$B43&lt;&gt;0,'1'!$B43,"")</f>
        <v/>
      </c>
      <c r="C35" s="101"/>
      <c r="D35" s="99"/>
      <c r="E35" s="99"/>
      <c r="F35" s="100"/>
      <c r="G35" s="99"/>
      <c r="H35" s="102"/>
    </row>
    <row r="36" spans="1:14">
      <c r="A36" t="str">
        <f>IF('1'!$A44&lt;&gt;0,'1'!$A44,"")</f>
        <v/>
      </c>
      <c r="B36" t="str">
        <f>IF('1'!$B44&lt;&gt;0,'1'!$B44,"")</f>
        <v/>
      </c>
      <c r="C36" s="101"/>
      <c r="D36" s="99"/>
      <c r="E36" s="99"/>
      <c r="F36" s="100"/>
      <c r="G36" s="99"/>
      <c r="H36" s="102"/>
    </row>
    <row r="37" spans="1:14">
      <c r="A37" t="str">
        <f>IF('1'!$A45&lt;&gt;0,'1'!$A45,"")</f>
        <v/>
      </c>
      <c r="B37" t="str">
        <f>IF('1'!$B45&lt;&gt;0,'1'!$B45,"")</f>
        <v/>
      </c>
      <c r="C37" s="101"/>
      <c r="D37" s="99"/>
      <c r="E37" s="99"/>
      <c r="F37" s="100"/>
      <c r="G37" s="99"/>
      <c r="H37" s="102"/>
    </row>
    <row r="38" spans="1:14">
      <c r="A38" t="str">
        <f>IF('1'!$A46&lt;&gt;0,'1'!$A46,"")</f>
        <v/>
      </c>
      <c r="B38" t="str">
        <f>IF('1'!$B46&lt;&gt;0,'1'!$B46,"")</f>
        <v/>
      </c>
      <c r="C38" s="101"/>
      <c r="D38" s="99"/>
      <c r="E38" s="99"/>
      <c r="F38" s="100"/>
      <c r="G38" s="99"/>
      <c r="H38" s="102"/>
    </row>
    <row r="39" spans="1:14">
      <c r="A39" t="str">
        <f>IF('1'!$A47&lt;&gt;0,'1'!$A47,"")</f>
        <v/>
      </c>
      <c r="B39" t="str">
        <f>IF('1'!$B47&lt;&gt;0,'1'!$B47,"")</f>
        <v/>
      </c>
      <c r="C39" s="101"/>
      <c r="D39" s="99"/>
      <c r="E39" s="99"/>
      <c r="F39" s="100"/>
      <c r="G39" s="99"/>
      <c r="H39" s="102"/>
    </row>
    <row r="40" spans="1:14">
      <c r="A40" t="str">
        <f>IF('1'!$A48&lt;&gt;0,'1'!$A48,"")</f>
        <v/>
      </c>
      <c r="B40" t="str">
        <f>IF('1'!$B48&lt;&gt;0,'1'!$B48,"")</f>
        <v/>
      </c>
      <c r="C40" s="101"/>
      <c r="D40" s="99"/>
      <c r="E40" s="99"/>
      <c r="F40" s="100"/>
      <c r="G40" s="99"/>
      <c r="H40" s="102"/>
    </row>
    <row r="41" spans="1:14">
      <c r="A41" t="str">
        <f>IF('1'!$A49&lt;&gt;0,'1'!$A49,"")</f>
        <v/>
      </c>
      <c r="B41" t="str">
        <f>IF('1'!$B49&lt;&gt;0,'1'!$B49,"")</f>
        <v/>
      </c>
      <c r="C41" s="101"/>
      <c r="D41" s="99"/>
      <c r="E41" s="99"/>
      <c r="F41" s="100"/>
      <c r="G41" s="99"/>
      <c r="H41" s="102"/>
    </row>
    <row r="42" spans="1:14">
      <c r="A42" t="str">
        <f>IF('1'!$A50&lt;&gt;0,'1'!$A50,"")</f>
        <v/>
      </c>
      <c r="B42" t="str">
        <f>IF('1'!$B50&lt;&gt;0,'1'!$B50,"")</f>
        <v/>
      </c>
      <c r="C42" s="101"/>
      <c r="D42" s="99"/>
      <c r="E42" s="99"/>
      <c r="F42" s="100"/>
      <c r="G42" s="99"/>
      <c r="H42" s="102"/>
    </row>
    <row r="43" spans="1:14">
      <c r="A43" t="str">
        <f>IF('1'!$A51&lt;&gt;0,'1'!$A51,"")</f>
        <v/>
      </c>
      <c r="B43" t="str">
        <f>IF('1'!$B51&lt;&gt;0,'1'!$B51,"")</f>
        <v/>
      </c>
      <c r="C43" s="101"/>
      <c r="D43" s="99"/>
      <c r="E43" s="99"/>
      <c r="F43" s="100"/>
      <c r="G43" s="99"/>
      <c r="H43" s="102"/>
    </row>
    <row r="44" spans="1:14">
      <c r="A44" t="str">
        <f>IF('1'!$A52&lt;&gt;0,'1'!$A52,"")</f>
        <v/>
      </c>
      <c r="B44" t="str">
        <f>IF('1'!$B52&lt;&gt;0,'1'!$B52,"")</f>
        <v/>
      </c>
      <c r="C44" s="101"/>
      <c r="D44" s="99"/>
      <c r="E44" s="99"/>
      <c r="F44" s="100"/>
      <c r="G44" s="99"/>
      <c r="H44" s="102"/>
    </row>
    <row r="45" spans="1:14">
      <c r="A45" t="str">
        <f>IF('1'!$A53&lt;&gt;0,'1'!$A53,"")</f>
        <v/>
      </c>
      <c r="B45" t="str">
        <f>IF('1'!$B53&lt;&gt;0,'1'!$B53,"")</f>
        <v/>
      </c>
      <c r="C45" s="101"/>
      <c r="D45" s="99"/>
      <c r="E45" s="99"/>
      <c r="F45" s="100"/>
      <c r="G45" s="99"/>
      <c r="H45" s="102"/>
    </row>
    <row r="46" spans="1:14">
      <c r="A46" t="str">
        <f>IF('1'!$A54&lt;&gt;0,'1'!$A54,"")</f>
        <v/>
      </c>
      <c r="B46" t="str">
        <f>IF('1'!$B54&lt;&gt;0,'1'!$B54,"")</f>
        <v/>
      </c>
      <c r="C46" s="104"/>
      <c r="D46" s="105"/>
      <c r="E46" s="105"/>
      <c r="F46" s="108"/>
      <c r="G46" s="105"/>
      <c r="H46" s="106"/>
    </row>
    <row r="47" spans="1:14">
      <c r="C47" s="115">
        <f t="shared" ref="C47:H47" si="0">SUM(C7:C46)</f>
        <v>0</v>
      </c>
      <c r="D47" s="115">
        <f t="shared" si="0"/>
        <v>0</v>
      </c>
      <c r="E47" s="115">
        <f t="shared" si="0"/>
        <v>0</v>
      </c>
      <c r="F47" s="115">
        <f t="shared" si="0"/>
        <v>0</v>
      </c>
      <c r="G47" s="115">
        <f t="shared" si="0"/>
        <v>0</v>
      </c>
      <c r="H47" s="115">
        <f t="shared" si="0"/>
        <v>0</v>
      </c>
      <c r="I47" s="29"/>
      <c r="J47" s="29"/>
      <c r="K47" s="29"/>
      <c r="L47" s="29"/>
      <c r="M47" s="29"/>
      <c r="N47" s="29"/>
    </row>
  </sheetData>
  <sheetProtection sheet="1" selectLockedCells="1"/>
  <mergeCells count="3">
    <mergeCell ref="C5:E5"/>
    <mergeCell ref="F5:H5"/>
    <mergeCell ref="C1:D1"/>
  </mergeCells>
  <hyperlinks>
    <hyperlink ref="C1" location="'Juhend-Руководство-Instructions'!A1" display="Руководство" xr:uid="{00000000-0004-0000-0400-000000000000}"/>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J47"/>
  <sheetViews>
    <sheetView topLeftCell="B1" zoomScale="180" zoomScaleNormal="180" workbookViewId="0">
      <selection activeCell="C7" sqref="C7:D47"/>
    </sheetView>
  </sheetViews>
  <sheetFormatPr baseColWidth="10" defaultColWidth="10.83203125" defaultRowHeight="16" outlineLevelCol="1"/>
  <cols>
    <col min="1" max="1" width="64.5" style="3" hidden="1" customWidth="1" outlineLevel="1"/>
    <col min="2" max="2" width="54.83203125" style="3" customWidth="1" collapsed="1"/>
    <col min="3" max="3" width="52" style="3" customWidth="1"/>
    <col min="4" max="4" width="48" style="3" customWidth="1"/>
    <col min="5" max="5" width="10.83203125" style="3" customWidth="1"/>
    <col min="6" max="16384" width="10.83203125" style="3"/>
  </cols>
  <sheetData>
    <row r="1" spans="1:4" ht="17" customHeight="1">
      <c r="A1" s="10"/>
      <c r="B1" s="27" t="str">
        <f>IF(Language="Eesti keel", "Antud ja saadud garantiid ja tagatised",IF(Language="Русский язык", "Выданные и полученные гарантии и залоги","Guarantees and security provided and received"))</f>
        <v>Antud ja saadud garantiid ja tagatised</v>
      </c>
      <c r="C1" s="83" t="str">
        <f>IF(Language="Eesti keel", "Juhend",IF(Language="Русский язык", "Руководство","Instructions"))</f>
        <v>Juhend</v>
      </c>
    </row>
    <row r="2" spans="1:4">
      <c r="A2" s="27"/>
      <c r="B2" s="93" t="str">
        <f>_xlfn.XLOOKUP("companies__name",var!$A:$A,var!$C:$C)</f>
        <v>RTS Infra Eesti OÜ</v>
      </c>
      <c r="C2" s="94">
        <f>_xlfn.XLOOKUP("projects__annual_report_end",var!$A:$A,var!$C:$C)</f>
        <v>45291</v>
      </c>
    </row>
    <row r="3" spans="1:4" ht="17" customHeight="1">
      <c r="A3" s="28"/>
    </row>
    <row r="6" spans="1:4" ht="34" customHeight="1">
      <c r="A6" s="9" t="s">
        <v>7</v>
      </c>
      <c r="B6" s="9" t="str">
        <f>'1'!B14</f>
        <v>SEOTUD ISIKU NIMI</v>
      </c>
      <c r="C6" s="56" t="str">
        <f>IF(Language="Eesti keel", "ANTUD GARANTIID/TAGATISED",IF(Language="Русский язык", "Выданные гарантии и залоги ","GUARANTEES / SECURITY PROVIDED"))</f>
        <v>ANTUD GARANTIID/TAGATISED</v>
      </c>
      <c r="D6" s="57" t="str">
        <f>IF(Language="Eesti keel", "SAADUD GARANTIID/TAGATISED",IF(Language="Русский язык", "Полученные гарантии и залоги","GURANATEES / SECURITY RECEIVED"))</f>
        <v>SAADUD GARANTIID/TAGATISED</v>
      </c>
    </row>
    <row r="7" spans="1:4">
      <c r="A7" t="str">
        <f>IF('1'!$A15&lt;&gt;0,'1'!$A15,"")</f>
        <v/>
      </c>
      <c r="B7" t="str">
        <f>IF('1'!$B15&lt;&gt;0,'1'!$B15,"")</f>
        <v/>
      </c>
      <c r="C7" s="95"/>
      <c r="D7" s="116"/>
    </row>
    <row r="8" spans="1:4">
      <c r="A8" t="str">
        <f>IF('1'!$A16&lt;&gt;0,'1'!$A16,"")</f>
        <v/>
      </c>
      <c r="B8" t="str">
        <f>IF('1'!$B16&lt;&gt;0,'1'!$B16,"")</f>
        <v/>
      </c>
      <c r="C8" s="101"/>
      <c r="D8" s="117"/>
    </row>
    <row r="9" spans="1:4">
      <c r="A9" t="str">
        <f>IF('1'!$A17&lt;&gt;0,'1'!$A17,"")</f>
        <v/>
      </c>
      <c r="B9" t="str">
        <f>IF('1'!$B17&lt;&gt;0,'1'!$B17,"")</f>
        <v/>
      </c>
      <c r="C9" s="101"/>
      <c r="D9" s="117"/>
    </row>
    <row r="10" spans="1:4">
      <c r="A10" t="str">
        <f>IF('1'!$A18&lt;&gt;0,'1'!$A18,"")</f>
        <v/>
      </c>
      <c r="B10" t="str">
        <f>IF('1'!$B18&lt;&gt;0,'1'!$B18,"")</f>
        <v/>
      </c>
      <c r="C10" s="101"/>
      <c r="D10" s="117"/>
    </row>
    <row r="11" spans="1:4">
      <c r="A11" t="str">
        <f>IF('1'!$A19&lt;&gt;0,'1'!$A19,"")</f>
        <v/>
      </c>
      <c r="B11" t="str">
        <f>IF('1'!$B19&lt;&gt;0,'1'!$B19,"")</f>
        <v/>
      </c>
      <c r="C11" s="101"/>
      <c r="D11" s="117"/>
    </row>
    <row r="12" spans="1:4">
      <c r="A12" t="str">
        <f>IF('1'!$A20&lt;&gt;0,'1'!$A20,"")</f>
        <v/>
      </c>
      <c r="B12" t="str">
        <f>IF('1'!$B20&lt;&gt;0,'1'!$B20,"")</f>
        <v/>
      </c>
      <c r="C12" s="101"/>
      <c r="D12" s="117"/>
    </row>
    <row r="13" spans="1:4">
      <c r="A13" t="str">
        <f>IF('1'!$A21&lt;&gt;0,'1'!$A21,"")</f>
        <v/>
      </c>
      <c r="B13" t="str">
        <f>IF('1'!$B21&lt;&gt;0,'1'!$B21,"")</f>
        <v/>
      </c>
      <c r="C13" s="101"/>
      <c r="D13" s="117"/>
    </row>
    <row r="14" spans="1:4">
      <c r="A14" t="str">
        <f>IF('1'!$A22&lt;&gt;0,'1'!$A22,"")</f>
        <v/>
      </c>
      <c r="B14" t="str">
        <f>IF('1'!$B22&lt;&gt;0,'1'!$B22,"")</f>
        <v/>
      </c>
      <c r="C14" s="101"/>
      <c r="D14" s="117"/>
    </row>
    <row r="15" spans="1:4">
      <c r="A15" t="str">
        <f>IF('1'!$A23&lt;&gt;0,'1'!$A23,"")</f>
        <v/>
      </c>
      <c r="B15" t="str">
        <f>IF('1'!$B23&lt;&gt;0,'1'!$B23,"")</f>
        <v/>
      </c>
      <c r="C15" s="101"/>
      <c r="D15" s="117"/>
    </row>
    <row r="16" spans="1:4">
      <c r="A16" t="str">
        <f>IF('1'!$A24&lt;&gt;0,'1'!$A24,"")</f>
        <v/>
      </c>
      <c r="B16" t="str">
        <f>IF('1'!$B24&lt;&gt;0,'1'!$B24,"")</f>
        <v/>
      </c>
      <c r="C16" s="101"/>
      <c r="D16" s="117"/>
    </row>
    <row r="17" spans="1:4">
      <c r="A17" t="str">
        <f>IF('1'!$A25&lt;&gt;0,'1'!$A25,"")</f>
        <v/>
      </c>
      <c r="B17" t="str">
        <f>IF('1'!$B25&lt;&gt;0,'1'!$B25,"")</f>
        <v/>
      </c>
      <c r="C17" s="101"/>
      <c r="D17" s="117"/>
    </row>
    <row r="18" spans="1:4">
      <c r="A18" t="str">
        <f>IF('1'!$A26&lt;&gt;0,'1'!$A26,"")</f>
        <v/>
      </c>
      <c r="B18" t="str">
        <f>IF('1'!$B26&lt;&gt;0,'1'!$B26,"")</f>
        <v/>
      </c>
      <c r="C18" s="101"/>
      <c r="D18" s="117"/>
    </row>
    <row r="19" spans="1:4">
      <c r="A19" t="str">
        <f>IF('1'!$A27&lt;&gt;0,'1'!$A27,"")</f>
        <v/>
      </c>
      <c r="B19" t="str">
        <f>IF('1'!$B27&lt;&gt;0,'1'!$B27,"")</f>
        <v/>
      </c>
      <c r="C19" s="101"/>
      <c r="D19" s="117"/>
    </row>
    <row r="20" spans="1:4">
      <c r="A20" t="str">
        <f>IF('1'!$A28&lt;&gt;0,'1'!$A28,"")</f>
        <v/>
      </c>
      <c r="B20" t="str">
        <f>IF('1'!$B28&lt;&gt;0,'1'!$B28,"")</f>
        <v/>
      </c>
      <c r="C20" s="101"/>
      <c r="D20" s="117"/>
    </row>
    <row r="21" spans="1:4">
      <c r="A21" t="str">
        <f>IF('1'!$A29&lt;&gt;0,'1'!$A29,"")</f>
        <v/>
      </c>
      <c r="B21" t="str">
        <f>IF('1'!$B29&lt;&gt;0,'1'!$B29,"")</f>
        <v/>
      </c>
      <c r="C21" s="101"/>
      <c r="D21" s="117"/>
    </row>
    <row r="22" spans="1:4">
      <c r="A22" t="str">
        <f>IF('1'!$A30&lt;&gt;0,'1'!$A30,"")</f>
        <v/>
      </c>
      <c r="B22" t="str">
        <f>IF('1'!$B30&lt;&gt;0,'1'!$B30,"")</f>
        <v/>
      </c>
      <c r="C22" s="101"/>
      <c r="D22" s="117"/>
    </row>
    <row r="23" spans="1:4">
      <c r="A23" t="str">
        <f>IF('1'!$A31&lt;&gt;0,'1'!$A31,"")</f>
        <v/>
      </c>
      <c r="B23" t="str">
        <f>IF('1'!$B31&lt;&gt;0,'1'!$B31,"")</f>
        <v/>
      </c>
      <c r="C23" s="101"/>
      <c r="D23" s="117"/>
    </row>
    <row r="24" spans="1:4">
      <c r="A24" t="str">
        <f>IF('1'!$A32&lt;&gt;0,'1'!$A32,"")</f>
        <v/>
      </c>
      <c r="B24" t="str">
        <f>IF('1'!$B32&lt;&gt;0,'1'!$B32,"")</f>
        <v/>
      </c>
      <c r="C24" s="101"/>
      <c r="D24" s="117"/>
    </row>
    <row r="25" spans="1:4">
      <c r="A25" t="str">
        <f>IF('1'!$A33&lt;&gt;0,'1'!$A33,"")</f>
        <v/>
      </c>
      <c r="B25" t="str">
        <f>IF('1'!$B33&lt;&gt;0,'1'!$B33,"")</f>
        <v/>
      </c>
      <c r="C25" s="101"/>
      <c r="D25" s="117"/>
    </row>
    <row r="26" spans="1:4">
      <c r="A26" t="str">
        <f>IF('1'!$A34&lt;&gt;0,'1'!$A34,"")</f>
        <v/>
      </c>
      <c r="B26" t="str">
        <f>IF('1'!$B34&lt;&gt;0,'1'!$B34,"")</f>
        <v/>
      </c>
      <c r="C26" s="101"/>
      <c r="D26" s="117"/>
    </row>
    <row r="27" spans="1:4">
      <c r="A27" t="str">
        <f>IF('1'!$A35&lt;&gt;0,'1'!$A35,"")</f>
        <v/>
      </c>
      <c r="B27" t="str">
        <f>IF('1'!$B35&lt;&gt;0,'1'!$B35,"")</f>
        <v/>
      </c>
      <c r="C27" s="101"/>
      <c r="D27" s="117"/>
    </row>
    <row r="28" spans="1:4">
      <c r="A28" t="str">
        <f>IF('1'!$A36&lt;&gt;0,'1'!$A36,"")</f>
        <v/>
      </c>
      <c r="B28" t="str">
        <f>IF('1'!$B36&lt;&gt;0,'1'!$B36,"")</f>
        <v/>
      </c>
      <c r="C28" s="101"/>
      <c r="D28" s="117"/>
    </row>
    <row r="29" spans="1:4">
      <c r="A29" t="str">
        <f>IF('1'!$A37&lt;&gt;0,'1'!$A37,"")</f>
        <v/>
      </c>
      <c r="B29" t="str">
        <f>IF('1'!$B37&lt;&gt;0,'1'!$B37,"")</f>
        <v/>
      </c>
      <c r="C29" s="101"/>
      <c r="D29" s="117"/>
    </row>
    <row r="30" spans="1:4">
      <c r="A30" t="str">
        <f>IF('1'!$A38&lt;&gt;0,'1'!$A38,"")</f>
        <v/>
      </c>
      <c r="B30" t="str">
        <f>IF('1'!$B38&lt;&gt;0,'1'!$B38,"")</f>
        <v/>
      </c>
      <c r="C30" s="101"/>
      <c r="D30" s="117"/>
    </row>
    <row r="31" spans="1:4">
      <c r="A31" t="str">
        <f>IF('1'!$A39&lt;&gt;0,'1'!$A39,"")</f>
        <v/>
      </c>
      <c r="B31" t="str">
        <f>IF('1'!$B39&lt;&gt;0,'1'!$B39,"")</f>
        <v/>
      </c>
      <c r="C31" s="101"/>
      <c r="D31" s="117"/>
    </row>
    <row r="32" spans="1:4">
      <c r="A32" t="str">
        <f>IF('1'!$A40&lt;&gt;0,'1'!$A40,"")</f>
        <v/>
      </c>
      <c r="B32" t="str">
        <f>IF('1'!$B40&lt;&gt;0,'1'!$B40,"")</f>
        <v/>
      </c>
      <c r="C32" s="101"/>
      <c r="D32" s="117"/>
    </row>
    <row r="33" spans="1:10">
      <c r="A33" t="str">
        <f>IF('1'!$A41&lt;&gt;0,'1'!$A41,"")</f>
        <v/>
      </c>
      <c r="B33" t="str">
        <f>IF('1'!$B41&lt;&gt;0,'1'!$B41,"")</f>
        <v/>
      </c>
      <c r="C33" s="101"/>
      <c r="D33" s="117"/>
    </row>
    <row r="34" spans="1:10">
      <c r="A34" t="str">
        <f>IF('1'!$A42&lt;&gt;0,'1'!$A42,"")</f>
        <v/>
      </c>
      <c r="B34" t="str">
        <f>IF('1'!$B42&lt;&gt;0,'1'!$B42,"")</f>
        <v/>
      </c>
      <c r="C34" s="101"/>
      <c r="D34" s="117"/>
    </row>
    <row r="35" spans="1:10">
      <c r="A35" t="str">
        <f>IF('1'!$A43&lt;&gt;0,'1'!$A43,"")</f>
        <v/>
      </c>
      <c r="B35" t="str">
        <f>IF('1'!$B43&lt;&gt;0,'1'!$B43,"")</f>
        <v/>
      </c>
      <c r="C35" s="101"/>
      <c r="D35" s="117"/>
    </row>
    <row r="36" spans="1:10">
      <c r="A36" t="str">
        <f>IF('1'!$A44&lt;&gt;0,'1'!$A44,"")</f>
        <v/>
      </c>
      <c r="B36" t="str">
        <f>IF('1'!$B44&lt;&gt;0,'1'!$B44,"")</f>
        <v/>
      </c>
      <c r="C36" s="101"/>
      <c r="D36" s="117"/>
    </row>
    <row r="37" spans="1:10">
      <c r="A37" t="str">
        <f>IF('1'!$A45&lt;&gt;0,'1'!$A45,"")</f>
        <v/>
      </c>
      <c r="B37" t="str">
        <f>IF('1'!$B45&lt;&gt;0,'1'!$B45,"")</f>
        <v/>
      </c>
      <c r="C37" s="101"/>
      <c r="D37" s="117"/>
    </row>
    <row r="38" spans="1:10">
      <c r="A38" t="str">
        <f>IF('1'!$A46&lt;&gt;0,'1'!$A46,"")</f>
        <v/>
      </c>
      <c r="B38" t="str">
        <f>IF('1'!$B46&lt;&gt;0,'1'!$B46,"")</f>
        <v/>
      </c>
      <c r="C38" s="101"/>
      <c r="D38" s="117"/>
    </row>
    <row r="39" spans="1:10">
      <c r="A39" t="str">
        <f>IF('1'!$A47&lt;&gt;0,'1'!$A47,"")</f>
        <v/>
      </c>
      <c r="B39" t="str">
        <f>IF('1'!$B47&lt;&gt;0,'1'!$B47,"")</f>
        <v/>
      </c>
      <c r="C39" s="101"/>
      <c r="D39" s="117"/>
    </row>
    <row r="40" spans="1:10">
      <c r="A40" t="str">
        <f>IF('1'!$A48&lt;&gt;0,'1'!$A48,"")</f>
        <v/>
      </c>
      <c r="B40" t="str">
        <f>IF('1'!$B48&lt;&gt;0,'1'!$B48,"")</f>
        <v/>
      </c>
      <c r="C40" s="101"/>
      <c r="D40" s="117"/>
    </row>
    <row r="41" spans="1:10">
      <c r="A41" t="str">
        <f>IF('1'!$A49&lt;&gt;0,'1'!$A49,"")</f>
        <v/>
      </c>
      <c r="B41" t="str">
        <f>IF('1'!$B49&lt;&gt;0,'1'!$B49,"")</f>
        <v/>
      </c>
      <c r="C41" s="101"/>
      <c r="D41" s="117"/>
    </row>
    <row r="42" spans="1:10">
      <c r="A42" t="str">
        <f>IF('1'!$A50&lt;&gt;0,'1'!$A50,"")</f>
        <v/>
      </c>
      <c r="B42" t="str">
        <f>IF('1'!$B50&lt;&gt;0,'1'!$B50,"")</f>
        <v/>
      </c>
      <c r="C42" s="101"/>
      <c r="D42" s="117"/>
    </row>
    <row r="43" spans="1:10">
      <c r="A43" t="str">
        <f>IF('1'!$A51&lt;&gt;0,'1'!$A51,"")</f>
        <v/>
      </c>
      <c r="B43" t="str">
        <f>IF('1'!$B51&lt;&gt;0,'1'!$B51,"")</f>
        <v/>
      </c>
      <c r="C43" s="101"/>
      <c r="D43" s="117"/>
    </row>
    <row r="44" spans="1:10">
      <c r="A44" t="str">
        <f>IF('1'!$A52&lt;&gt;0,'1'!$A52,"")</f>
        <v/>
      </c>
      <c r="B44" t="str">
        <f>IF('1'!$B52&lt;&gt;0,'1'!$B52,"")</f>
        <v/>
      </c>
      <c r="C44" s="101"/>
      <c r="D44" s="117"/>
    </row>
    <row r="45" spans="1:10">
      <c r="A45" t="str">
        <f>IF('1'!$A53&lt;&gt;0,'1'!$A53,"")</f>
        <v/>
      </c>
      <c r="B45" t="str">
        <f>IF('1'!$B53&lt;&gt;0,'1'!$B53,"")</f>
        <v/>
      </c>
      <c r="C45" s="101"/>
      <c r="D45" s="117"/>
    </row>
    <row r="46" spans="1:10">
      <c r="A46" t="str">
        <f>IF('1'!$A54&lt;&gt;0,'1'!$A54,"")</f>
        <v/>
      </c>
      <c r="B46" t="str">
        <f>IF('1'!$B54&lt;&gt;0,'1'!$B54,"")</f>
        <v/>
      </c>
      <c r="C46" s="104"/>
      <c r="D46" s="118"/>
    </row>
    <row r="47" spans="1:10">
      <c r="C47" s="115">
        <f>SUM(C7:C46)</f>
        <v>0</v>
      </c>
      <c r="D47" s="115">
        <f>SUM(D7:D46)</f>
        <v>0</v>
      </c>
      <c r="E47" s="29"/>
      <c r="F47" s="29"/>
      <c r="G47" s="29"/>
      <c r="H47" s="29"/>
      <c r="I47" s="29"/>
      <c r="J47" s="29"/>
    </row>
  </sheetData>
  <sheetProtection sheet="1" selectLockedCells="1"/>
  <hyperlinks>
    <hyperlink ref="C1" location="'Juhend-Руководство-Instructions'!A1" display="'Juhend-Руководство-Instructions'!A1" xr:uid="{00000000-0004-0000-0500-000000000000}"/>
  </hyperlink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I51"/>
  <sheetViews>
    <sheetView topLeftCell="A11" zoomScale="170" zoomScaleNormal="170" workbookViewId="0">
      <selection activeCell="H37" sqref="H37"/>
    </sheetView>
  </sheetViews>
  <sheetFormatPr baseColWidth="10" defaultColWidth="10.83203125" defaultRowHeight="16"/>
  <cols>
    <col min="1" max="1" width="68.33203125" style="3" customWidth="1"/>
    <col min="2" max="2" width="24.6640625" style="3" customWidth="1"/>
    <col min="3" max="3" width="23.33203125" style="3" customWidth="1"/>
    <col min="4" max="9" width="17.5" style="3" customWidth="1"/>
    <col min="10" max="10" width="10.83203125" style="3" customWidth="1"/>
    <col min="11" max="16384" width="10.83203125" style="3"/>
  </cols>
  <sheetData>
    <row r="1" spans="1:9" ht="17" customHeight="1">
      <c r="A1" s="10" t="str">
        <f>IF(Language="Eesti keel", "ARVESTUSANDMED (rohelistelt töölehtedelt)",IF(Language="Русский язык", "ДАННЫЕ УЧЕТА (сводка данных, внесенных на зеленые закладки)","EN"))</f>
        <v>ARVESTUSANDMED (rohelistelt töölehtedelt)</v>
      </c>
      <c r="B1" s="139" t="s">
        <v>6</v>
      </c>
      <c r="C1" s="140"/>
    </row>
    <row r="2" spans="1:9" ht="20" customHeight="1">
      <c r="A2" s="93" t="str">
        <f>_xlfn.XLOOKUP("companies__name",var!$A:$A,var!$C:$C)</f>
        <v>RTS Infra Eesti OÜ</v>
      </c>
      <c r="B2" s="94">
        <f>_xlfn.XLOOKUP("projects__annual_report_end",var!$A:$A,var!$C:$C)</f>
        <v>45291</v>
      </c>
    </row>
    <row r="3" spans="1:9" ht="19" customHeight="1">
      <c r="B3" s="156" t="str">
        <f>'2.1'!C4</f>
        <v>LÜHIAJALISED</v>
      </c>
      <c r="C3" s="152"/>
      <c r="D3" s="155"/>
      <c r="E3" s="157" t="str">
        <f>'2.1'!I4</f>
        <v>PIKAAJALISED</v>
      </c>
      <c r="F3" s="152"/>
      <c r="G3" s="155"/>
    </row>
    <row r="4" spans="1:9" ht="34" customHeight="1">
      <c r="B4" s="7" t="str">
        <f>'2.1'!C5</f>
        <v>Nõuded ja ettemaksed</v>
      </c>
      <c r="C4" s="7" t="str">
        <f>'2.1'!F5</f>
        <v>Laenukohustised</v>
      </c>
      <c r="D4" s="13" t="str">
        <f>'2.1'!G5</f>
        <v>Võlad ja ettemaksed</v>
      </c>
      <c r="E4" s="17" t="str">
        <f>B4</f>
        <v>Nõuded ja ettemaksed</v>
      </c>
      <c r="F4" s="7" t="str">
        <f>C4</f>
        <v>Laenukohustised</v>
      </c>
      <c r="G4" s="7" t="str">
        <f>F4</f>
        <v>Laenukohustised</v>
      </c>
    </row>
    <row r="5" spans="1:9" ht="17" customHeight="1">
      <c r="A5" s="12" t="str">
        <f>data!$A$2</f>
        <v>Emaettevõtja</v>
      </c>
      <c r="B5" s="119">
        <f>SUMIF('2.1'!$A$7:$A$46,'3'!$A5,'2.1'!$C$7:$C$46)+SUMIF('2.1'!$A$7:$A$46,'3'!$A5,'2.1'!$D$7:$D$46)+SUMIF('2.1'!$A$7:$A$46,'3'!$A5,'2.1'!$E$7:$E$46)</f>
        <v>0</v>
      </c>
      <c r="C5" s="119">
        <f>SUMIF('2.1'!$A$7:$A$46,'3'!$A5,'2.1'!$F$7:$F$46)</f>
        <v>0</v>
      </c>
      <c r="D5" s="120">
        <f>SUMIF('2.1'!$A$7:$A$46,'3'!$A5,'2.1'!$H$7:$H$46)+SUMIF('2.1'!$A$7:$A$46,'3'!$A5,'2.1'!$G$7:$G$46)</f>
        <v>0</v>
      </c>
      <c r="E5" s="121">
        <f>SUMIF('2.1'!$A$7:$A$46,'3'!$A5,'2.1'!$I$7:$I$46)+SUMIF('2.1'!$A$7:$A$46,'3'!$A5,'2.1'!$J$7:$J$46)+SUMIF('2.1'!$A$7:$A$46,'3'!$A5,'2.1'!$K$7:$K$46)</f>
        <v>0</v>
      </c>
      <c r="F5" s="119">
        <f>SUMIF('2.1'!$A$7:$A$46,'3'!$A5,'2.1'!$L$7:$L$46)</f>
        <v>0</v>
      </c>
      <c r="G5" s="119">
        <f>SUMIF('2.1'!$A$7:$A$46,'3'!$A5,'2.1'!$N$7:$N$46)+SUMIF('2.1'!$A$7:$A$46,'3'!$A5,'2.1'!$M$7:$M$46)</f>
        <v>0</v>
      </c>
    </row>
    <row r="6" spans="1:9" ht="17" customHeight="1">
      <c r="A6" s="12" t="str">
        <f>data!$A$3</f>
        <v>Tütarettevõtjad</v>
      </c>
      <c r="B6" s="119">
        <f>SUMIF('2.1'!$A$7:$A$46,'3'!$A6,'2.1'!$C$7:$C$46)+SUMIF('2.1'!$A$7:$A$46,'3'!$A6,'2.1'!$D$7:$D$46)+SUMIF('2.1'!$A$7:$A$46,'3'!$A6,'2.1'!$E$7:$E$46)</f>
        <v>0</v>
      </c>
      <c r="C6" s="119">
        <f>SUMIF('2.1'!$A$7:$A$46,'3'!$A6,'2.1'!$F$7:$F$46)</f>
        <v>0</v>
      </c>
      <c r="D6" s="120">
        <f>SUMIF('2.1'!$A$7:$A$46,'3'!$A6,'2.1'!$H$7:$H$46)+SUMIF('2.1'!$A$7:$A$46,'3'!$A6,'2.1'!$G$7:$G$46)</f>
        <v>0</v>
      </c>
      <c r="E6" s="121">
        <f>SUMIF('2.1'!$A$7:$A$46,'3'!$A6,'2.1'!$I$7:$I$46)+SUMIF('2.1'!$A$7:$A$46,'3'!$A6,'2.1'!$J$7:$J$46)+SUMIF('2.1'!$A$7:$A$46,'3'!$A6,'2.1'!$K$7:$K$46)</f>
        <v>0</v>
      </c>
      <c r="F6" s="119">
        <f>SUMIF('2.1'!$A$7:$A$46,'3'!$A6,'2.1'!$L$7:$L$46)</f>
        <v>0</v>
      </c>
      <c r="G6" s="119">
        <f>SUMIF('2.1'!$A$7:$A$46,'3'!$A6,'2.1'!$N$7:$N$46)+SUMIF('2.1'!$A$7:$A$46,'3'!$A6,'2.1'!$M$7:$M$46)</f>
        <v>0</v>
      </c>
    </row>
    <row r="7" spans="1:9" ht="17" customHeight="1">
      <c r="A7" s="12" t="str">
        <f>data!$A$4</f>
        <v>Sidusettevõtjad</v>
      </c>
      <c r="B7" s="119">
        <f>SUMIF('2.1'!$A$7:$A$46,'3'!$A7,'2.1'!$C$7:$C$46)+SUMIF('2.1'!$A$7:$A$46,'3'!$A7,'2.1'!$D$7:$D$46)+SUMIF('2.1'!$A$7:$A$46,'3'!$A7,'2.1'!$E$7:$E$46)</f>
        <v>0</v>
      </c>
      <c r="C7" s="119">
        <f>SUMIF('2.1'!$A$7:$A$46,'3'!$A7,'2.1'!$F$7:$F$46)</f>
        <v>0</v>
      </c>
      <c r="D7" s="120">
        <f>SUMIF('2.1'!$A$7:$A$46,'3'!$A7,'2.1'!$H$7:$H$46)+SUMIF('2.1'!$A$7:$A$46,'3'!$A7,'2.1'!$G$7:$G$46)</f>
        <v>0</v>
      </c>
      <c r="E7" s="121">
        <f>SUMIF('2.1'!$A$7:$A$46,'3'!$A7,'2.1'!$I$7:$I$46)+SUMIF('2.1'!$A$7:$A$46,'3'!$A7,'2.1'!$J$7:$J$46)+SUMIF('2.1'!$A$7:$A$46,'3'!$A7,'2.1'!$K$7:$K$46)</f>
        <v>0</v>
      </c>
      <c r="F7" s="119">
        <f>SUMIF('2.1'!$A$7:$A$46,'3'!$A7,'2.1'!$L$7:$L$46)</f>
        <v>0</v>
      </c>
      <c r="G7" s="119">
        <f>SUMIF('2.1'!$A$7:$A$46,'3'!$A7,'2.1'!$N$7:$N$46)+SUMIF('2.1'!$A$7:$A$46,'3'!$A7,'2.1'!$M$7:$M$46)</f>
        <v>0</v>
      </c>
    </row>
    <row r="8" spans="1:9" ht="17" customHeight="1">
      <c r="A8" s="12" t="str">
        <f>data!$A$5</f>
        <v>Teised samasse konsolideerimisgruppi kuuluvad ettevõtjad</v>
      </c>
      <c r="B8" s="119">
        <f>SUMIF('2.1'!$A$7:$A$46,'3'!$A8,'2.1'!$C$7:$C$46)+SUMIF('2.1'!$A$7:$A$46,'3'!$A8,'2.1'!$D$7:$D$46)+SUMIF('2.1'!$A$7:$A$46,'3'!$A8,'2.1'!$E$7:$E$46)</f>
        <v>0</v>
      </c>
      <c r="C8" s="119">
        <f>SUMIF('2.1'!$A$7:$A$46,'3'!$A8,'2.1'!$F$7:$F$46)</f>
        <v>0</v>
      </c>
      <c r="D8" s="120">
        <f>SUMIF('2.1'!$A$7:$A$46,'3'!$A8,'2.1'!$H$7:$H$46)+SUMIF('2.1'!$A$7:$A$46,'3'!$A8,'2.1'!$G$7:$G$46)</f>
        <v>0</v>
      </c>
      <c r="E8" s="121">
        <f>SUMIF('2.1'!$A$7:$A$46,'3'!$A8,'2.1'!$I$7:$I$46)+SUMIF('2.1'!$A$7:$A$46,'3'!$A8,'2.1'!$J$7:$J$46)+SUMIF('2.1'!$A$7:$A$46,'3'!$A8,'2.1'!$K$7:$K$46)</f>
        <v>0</v>
      </c>
      <c r="F8" s="119">
        <f>SUMIF('2.1'!$A$7:$A$46,'3'!$A8,'2.1'!$L$7:$L$46)</f>
        <v>0</v>
      </c>
      <c r="G8" s="119">
        <f>SUMIF('2.1'!$A$7:$A$46,'3'!$A8,'2.1'!$N$7:$N$46)+SUMIF('2.1'!$A$7:$A$46,'3'!$A8,'2.1'!$M$7:$M$46)</f>
        <v>0</v>
      </c>
    </row>
    <row r="9" spans="1:9" ht="34" customHeight="1">
      <c r="A9" s="12" t="str">
        <f>data!$A$6</f>
        <v>Tegev- ja kõrgem juhtkond ning olulise osalusega eraisikutest omanikud ning nende valitseva või olulise mõju all olevad ettevõtjad</v>
      </c>
      <c r="B9" s="119">
        <f>SUMIF('2.1'!$A$7:$A$46,'3'!$A9,'2.1'!$C$7:$C$46)+SUMIF('2.1'!$A$7:$A$46,'3'!$A9,'2.1'!$D$7:$D$46)+SUMIF('2.1'!$A$7:$A$46,'3'!$A9,'2.1'!$E$7:$E$46)</f>
        <v>0</v>
      </c>
      <c r="C9" s="119">
        <f>SUMIF('2.1'!$A$7:$A$46,'3'!$A9,'2.1'!$F$7:$F$46)</f>
        <v>0</v>
      </c>
      <c r="D9" s="120">
        <f>SUMIF('2.1'!$A$7:$A$46,'3'!$A9,'2.1'!$H$7:$H$46)+SUMIF('2.1'!$A$7:$A$46,'3'!$A9,'2.1'!$G$7:$G$46)</f>
        <v>0</v>
      </c>
      <c r="E9" s="121">
        <f>SUMIF('2.1'!$A$7:$A$46,'3'!$A9,'2.1'!$I$7:$I$46)+SUMIF('2.1'!$A$7:$A$46,'3'!$A9,'2.1'!$J$7:$J$46)+SUMIF('2.1'!$A$7:$A$46,'3'!$A9,'2.1'!$K$7:$K$46)</f>
        <v>0</v>
      </c>
      <c r="F9" s="119">
        <f>SUMIF('2.1'!$A$7:$A$46,'3'!$A9,'2.1'!$L$7:$L$46)</f>
        <v>0</v>
      </c>
      <c r="G9" s="119">
        <f>SUMIF('2.1'!$A$7:$A$46,'3'!$A9,'2.1'!$N$7:$N$46)+SUMIF('2.1'!$A$7:$A$46,'3'!$A9,'2.1'!$M$7:$M$46)</f>
        <v>0</v>
      </c>
    </row>
    <row r="10" spans="1:9" ht="34" customHeight="1">
      <c r="A10" s="12" t="str">
        <f>data!$A$7</f>
        <v>Olulise osalusega juriidilisest isikust omanikud ning nende valitseva või olulise mõju all olevad ettevõtjad</v>
      </c>
      <c r="B10" s="119">
        <f>SUMIF('2.1'!$A$7:$A$46,'3'!$A10,'2.1'!$C$7:$C$46)+SUMIF('2.1'!$A$7:$A$46,'3'!$A10,'2.1'!$D$7:$D$46)+SUMIF('2.1'!$A$7:$A$46,'3'!$A10,'2.1'!$E$7:$E$46)</f>
        <v>0</v>
      </c>
      <c r="C10" s="119">
        <f>SUMIF('2.1'!$A$7:$A$46,'3'!$A10,'2.1'!$F$7:$F$46)</f>
        <v>0</v>
      </c>
      <c r="D10" s="120">
        <f>SUMIF('2.1'!$A$7:$A$46,'3'!$A10,'2.1'!$H$7:$H$46)+SUMIF('2.1'!$A$7:$A$46,'3'!$A10,'2.1'!$G$7:$G$46)</f>
        <v>0</v>
      </c>
      <c r="E10" s="121">
        <f>SUMIF('2.1'!$A$7:$A$46,'3'!$A10,'2.1'!$I$7:$I$46)+SUMIF('2.1'!$A$7:$A$46,'3'!$A10,'2.1'!$J$7:$J$46)+SUMIF('2.1'!$A$7:$A$46,'3'!$A10,'2.1'!$K$7:$K$46)</f>
        <v>0</v>
      </c>
      <c r="F10" s="119">
        <f>SUMIF('2.1'!$A$7:$A$46,'3'!$A10,'2.1'!$L$7:$L$46)</f>
        <v>0</v>
      </c>
      <c r="G10" s="119">
        <f>SUMIF('2.1'!$A$7:$A$46,'3'!$A10,'2.1'!$N$7:$N$46)+SUMIF('2.1'!$A$7:$A$46,'3'!$A10,'2.1'!$M$7:$M$46)</f>
        <v>0</v>
      </c>
    </row>
    <row r="11" spans="1:9" ht="34" customHeight="1">
      <c r="A11" s="12" t="str">
        <f>data!$A$8</f>
        <v>Tegev- ja kõrgema juhtkonna ning olulise osalusega eraisikust omanike lähedased pereliikmed ning nende valitseva või olulise mõju all olevad ettevõtjad</v>
      </c>
      <c r="B11" s="119">
        <f>SUMIF('2.1'!$A$7:$A$46,'3'!$A11,'2.1'!$C$7:$C$46)+SUMIF('2.1'!$A$7:$A$46,'3'!$A11,'2.1'!$D$7:$D$46)+SUMIF('2.1'!$A$7:$A$46,'3'!$A11,'2.1'!$E$7:$E$46)</f>
        <v>0</v>
      </c>
      <c r="C11" s="119">
        <f>SUMIF('2.1'!$A$7:$A$46,'3'!$A11,'2.1'!$F$7:$F$46)</f>
        <v>0</v>
      </c>
      <c r="D11" s="120">
        <f>SUMIF('2.1'!$A$7:$A$46,'3'!$A11,'2.1'!$H$7:$H$46)+SUMIF('2.1'!$A$7:$A$46,'3'!$A11,'2.1'!$G$7:$G$46)</f>
        <v>0</v>
      </c>
      <c r="E11" s="121">
        <f>SUMIF('2.1'!$A$7:$A$46,'3'!$A11,'2.1'!$I$7:$I$46)+SUMIF('2.1'!$A$7:$A$46,'3'!$A11,'2.1'!$J$7:$J$46)+SUMIF('2.1'!$A$7:$A$46,'3'!$A11,'2.1'!$K$7:$K$46)</f>
        <v>0</v>
      </c>
      <c r="F11" s="119">
        <f>SUMIF('2.1'!$A$7:$A$46,'3'!$A11,'2.1'!$L$7:$L$46)</f>
        <v>0</v>
      </c>
      <c r="G11" s="119">
        <f>SUMIF('2.1'!$A$7:$A$46,'3'!$A11,'2.1'!$N$7:$N$46)+SUMIF('2.1'!$A$7:$A$46,'3'!$A11,'2.1'!$M$7:$M$46)</f>
        <v>0</v>
      </c>
    </row>
    <row r="12" spans="1:9" ht="17" customHeight="1">
      <c r="A12" s="12" t="str">
        <f>data!$A$9</f>
        <v>Muu seotud osapool</v>
      </c>
      <c r="B12" s="119">
        <f>SUMIF('2.1'!$A$7:$A$46,'3'!$A12,'2.1'!$C$7:$C$46)+SUMIF('2.1'!$A$7:$A$46,'3'!$A12,'2.1'!$D$7:$D$46)+SUMIF('2.1'!$A$7:$A$46,'3'!$A12,'2.1'!$E$7:$E$46)</f>
        <v>0</v>
      </c>
      <c r="C12" s="119">
        <f>SUMIF('2.1'!$A$7:$A$46,'3'!$A12,'2.1'!$F$7:$F$46)</f>
        <v>0</v>
      </c>
      <c r="D12" s="120">
        <f>SUMIF('2.1'!$A$7:$A$46,'3'!$A12,'2.1'!$H$7:$H$46)+SUMIF('2.1'!$A$7:$A$46,'3'!$A12,'2.1'!$G$7:$G$46)</f>
        <v>0</v>
      </c>
      <c r="E12" s="121">
        <f>SUMIF('2.1'!$A$7:$A$46,'3'!$A12,'2.1'!$I$7:$I$46)+SUMIF('2.1'!$A$7:$A$46,'3'!$A12,'2.1'!$J$7:$J$46)+SUMIF('2.1'!$A$7:$A$46,'3'!$A12,'2.1'!$K$7:$K$46)</f>
        <v>0</v>
      </c>
      <c r="F12" s="119">
        <f>SUMIF('2.1'!$A$7:$A$46,'3'!$A12,'2.1'!$L$7:$L$46)</f>
        <v>0</v>
      </c>
      <c r="G12" s="119">
        <f>SUMIF('2.1'!$A$7:$A$46,'3'!$A12,'2.1'!$N$7:$N$46)+SUMIF('2.1'!$A$7:$A$46,'3'!$A12,'2.1'!$M$7:$M$46)</f>
        <v>0</v>
      </c>
    </row>
    <row r="13" spans="1:9">
      <c r="B13" s="122">
        <f t="shared" ref="B13:G13" si="0">SUM(B5:B12)</f>
        <v>0</v>
      </c>
      <c r="C13" s="122">
        <f t="shared" si="0"/>
        <v>0</v>
      </c>
      <c r="D13" s="122">
        <f t="shared" si="0"/>
        <v>0</v>
      </c>
      <c r="E13" s="122">
        <f t="shared" si="0"/>
        <v>0</v>
      </c>
      <c r="F13" s="122">
        <f t="shared" si="0"/>
        <v>0</v>
      </c>
      <c r="G13" s="122">
        <f t="shared" si="0"/>
        <v>0</v>
      </c>
    </row>
    <row r="16" spans="1:9" ht="19" customHeight="1">
      <c r="B16" s="158" t="str">
        <f>'2.2'!C5</f>
        <v>LAENUNÕUDED</v>
      </c>
      <c r="C16" s="142"/>
      <c r="D16" s="142"/>
      <c r="E16" s="149"/>
      <c r="F16" s="144" t="str">
        <f>'2.2'!G5</f>
        <v>LAENUKOHUSTISED (saadud laenud)</v>
      </c>
      <c r="G16" s="142"/>
      <c r="H16" s="142"/>
      <c r="I16" s="143"/>
    </row>
    <row r="17" spans="1:9" ht="57" customHeight="1">
      <c r="B17" s="50" t="str">
        <f>'2.2'!C6</f>
        <v>Antud laenud</v>
      </c>
      <c r="C17" s="50" t="str">
        <f>'2.2'!D6</f>
        <v>Antud laenude tagasimaksed</v>
      </c>
      <c r="D17" s="38">
        <f>_xlfn.XLOOKUP("projects__annual_report_end",var!$A:$A,var!$C:$C)</f>
        <v>45291</v>
      </c>
      <c r="E17" s="58" t="str">
        <f>'2.2'!F6</f>
        <v>Perioodi arvestatud intressid</v>
      </c>
      <c r="F17" s="59" t="str">
        <f>'2.2'!G6</f>
        <v>Saadud laenud</v>
      </c>
      <c r="G17" s="60" t="str">
        <f>'2.2'!H6</f>
        <v>Saadud laenude tagasimaksed</v>
      </c>
      <c r="H17" s="39">
        <f>_xlfn.XLOOKUP("projects__annual_report_end",var!$A:$A,var!$C:$C)</f>
        <v>45291</v>
      </c>
      <c r="I17" s="60" t="str">
        <f>'2.2'!J6</f>
        <v>Perioodi arvestatud intressid</v>
      </c>
    </row>
    <row r="18" spans="1:9" ht="17" customHeight="1">
      <c r="A18" s="12" t="str">
        <f>data!$A$2</f>
        <v>Emaettevõtja</v>
      </c>
      <c r="B18" s="119">
        <f>SUMIF('2.2'!$A$7:$A$46,'3'!$A18,'2.2'!$C$7:$C$46)</f>
        <v>0</v>
      </c>
      <c r="C18" s="119">
        <f>SUMIF('2.2'!$A$7:$A$46,'3'!$A18,'2.2'!$D$7:$D$46)</f>
        <v>0</v>
      </c>
      <c r="D18" s="119">
        <f>SUMIF('2.2'!$A$7:$A$46,'3'!$A18,'2.2'!$E$7:$E$46)</f>
        <v>0</v>
      </c>
      <c r="E18" s="120">
        <f>SUMIF('2.2'!$A$7:$A$46,'3'!$A18,'2.2'!$F$7:$F$46)</f>
        <v>0</v>
      </c>
      <c r="F18" s="121">
        <f>SUMIF('2.2'!$A$7:$A$46,'3'!$A18,'2.2'!$G$7:$G$46)</f>
        <v>0</v>
      </c>
      <c r="G18" s="119">
        <f>SUMIF('2.2'!$A$7:$A$46,'3'!$A18,'2.2'!$H$7:$H$46)</f>
        <v>0</v>
      </c>
      <c r="H18" s="119">
        <f>SUMIF('2.2'!$A$7:$A$46,'3'!$A18,'2.2'!$I$7:$I$46)</f>
        <v>0</v>
      </c>
      <c r="I18" s="119">
        <f>SUMIF('2.2'!$A$7:$A$46,'3'!$A18,'2.2'!$J$7:$J$46)</f>
        <v>0</v>
      </c>
    </row>
    <row r="19" spans="1:9" ht="17" customHeight="1">
      <c r="A19" s="12" t="str">
        <f>data!$A$3</f>
        <v>Tütarettevõtjad</v>
      </c>
      <c r="B19" s="119">
        <f>SUMIF('2.2'!$A$7:$A$46,'3'!$A19,'2.2'!$C$7:$C$46)</f>
        <v>0</v>
      </c>
      <c r="C19" s="119">
        <f>SUMIF('2.2'!$A$7:$A$46,'3'!$A19,'2.2'!$D$7:$D$46)</f>
        <v>0</v>
      </c>
      <c r="D19" s="119">
        <f>SUMIF('2.2'!$A$7:$A$46,'3'!$A19,'2.2'!$E$7:$E$46)</f>
        <v>0</v>
      </c>
      <c r="E19" s="120">
        <f>SUMIF('2.2'!$A$7:$A$46,'3'!$A19,'2.2'!$F$7:$F$46)</f>
        <v>0</v>
      </c>
      <c r="F19" s="121">
        <f>SUMIF('2.2'!$A$7:$A$46,'3'!$A19,'2.2'!$G$7:$G$46)</f>
        <v>0</v>
      </c>
      <c r="G19" s="119">
        <f>SUMIF('2.2'!$A$7:$A$46,'3'!$A19,'2.2'!$H$7:$H$46)</f>
        <v>0</v>
      </c>
      <c r="H19" s="119">
        <f>SUMIF('2.2'!$A$7:$A$46,'3'!$A19,'2.2'!$I$7:$I$46)</f>
        <v>0</v>
      </c>
      <c r="I19" s="119">
        <f>SUMIF('2.2'!$A$7:$A$46,'3'!$A19,'2.2'!$J$7:$J$46)</f>
        <v>0</v>
      </c>
    </row>
    <row r="20" spans="1:9" ht="17" customHeight="1">
      <c r="A20" s="12" t="str">
        <f>data!$A$4</f>
        <v>Sidusettevõtjad</v>
      </c>
      <c r="B20" s="119">
        <f>SUMIF('2.2'!$A$7:$A$46,'3'!$A20,'2.2'!$C$7:$C$46)</f>
        <v>0</v>
      </c>
      <c r="C20" s="119">
        <f>SUMIF('2.2'!$A$7:$A$46,'3'!$A20,'2.2'!$D$7:$D$46)</f>
        <v>0</v>
      </c>
      <c r="D20" s="119">
        <f>SUMIF('2.2'!$A$7:$A$46,'3'!$A20,'2.2'!$E$7:$E$46)</f>
        <v>0</v>
      </c>
      <c r="E20" s="120">
        <f>SUMIF('2.2'!$A$7:$A$46,'3'!$A20,'2.2'!$F$7:$F$46)</f>
        <v>0</v>
      </c>
      <c r="F20" s="121">
        <f>SUMIF('2.2'!$A$7:$A$46,'3'!$A20,'2.2'!$G$7:$G$46)</f>
        <v>0</v>
      </c>
      <c r="G20" s="119">
        <f>SUMIF('2.2'!$A$7:$A$46,'3'!$A20,'2.2'!$H$7:$H$46)</f>
        <v>0</v>
      </c>
      <c r="H20" s="119">
        <f>SUMIF('2.2'!$A$7:$A$46,'3'!$A20,'2.2'!$I$7:$I$46)</f>
        <v>0</v>
      </c>
      <c r="I20" s="119">
        <f>SUMIF('2.2'!$A$7:$A$46,'3'!$A20,'2.2'!$J$7:$J$46)</f>
        <v>0</v>
      </c>
    </row>
    <row r="21" spans="1:9" ht="17" customHeight="1">
      <c r="A21" s="12" t="str">
        <f>data!$A$5</f>
        <v>Teised samasse konsolideerimisgruppi kuuluvad ettevõtjad</v>
      </c>
      <c r="B21" s="119">
        <f>SUMIF('2.2'!$A$7:$A$46,'3'!$A21,'2.2'!$C$7:$C$46)</f>
        <v>0</v>
      </c>
      <c r="C21" s="119">
        <f>SUMIF('2.2'!$A$7:$A$46,'3'!$A21,'2.2'!$D$7:$D$46)</f>
        <v>0</v>
      </c>
      <c r="D21" s="119">
        <f>SUMIF('2.2'!$A$7:$A$46,'3'!$A21,'2.2'!$E$7:$E$46)</f>
        <v>0</v>
      </c>
      <c r="E21" s="120">
        <f>SUMIF('2.2'!$A$7:$A$46,'3'!$A21,'2.2'!$F$7:$F$46)</f>
        <v>0</v>
      </c>
      <c r="F21" s="121">
        <f>SUMIF('2.2'!$A$7:$A$46,'3'!$A21,'2.2'!$G$7:$G$46)</f>
        <v>0</v>
      </c>
      <c r="G21" s="119">
        <f>SUMIF('2.2'!$A$7:$A$46,'3'!$A21,'2.2'!$H$7:$H$46)</f>
        <v>0</v>
      </c>
      <c r="H21" s="119">
        <f>SUMIF('2.2'!$A$7:$A$46,'3'!$A21,'2.2'!$I$7:$I$46)</f>
        <v>0</v>
      </c>
      <c r="I21" s="119">
        <f>SUMIF('2.2'!$A$7:$A$46,'3'!$A21,'2.2'!$J$7:$J$46)</f>
        <v>0</v>
      </c>
    </row>
    <row r="22" spans="1:9" ht="34" customHeight="1">
      <c r="A22" s="12" t="str">
        <f>data!$A$6</f>
        <v>Tegev- ja kõrgem juhtkond ning olulise osalusega eraisikutest omanikud ning nende valitseva või olulise mõju all olevad ettevõtjad</v>
      </c>
      <c r="B22" s="119">
        <f>SUMIF('2.2'!$A$7:$A$46,'3'!$A22,'2.2'!$C$7:$C$46)</f>
        <v>0</v>
      </c>
      <c r="C22" s="119">
        <f>SUMIF('2.2'!$A$7:$A$46,'3'!$A22,'2.2'!$D$7:$D$46)</f>
        <v>0</v>
      </c>
      <c r="D22" s="119">
        <f>SUMIF('2.2'!$A$7:$A$46,'3'!$A22,'2.2'!$E$7:$E$46)</f>
        <v>0</v>
      </c>
      <c r="E22" s="120">
        <f>SUMIF('2.2'!$A$7:$A$46,'3'!$A22,'2.2'!$F$7:$F$46)</f>
        <v>0</v>
      </c>
      <c r="F22" s="121">
        <f>SUMIF('2.2'!$A$7:$A$46,'3'!$A22,'2.2'!$G$7:$G$46)</f>
        <v>0</v>
      </c>
      <c r="G22" s="119">
        <f>SUMIF('2.2'!$A$7:$A$46,'3'!$A22,'2.2'!$H$7:$H$46)</f>
        <v>0</v>
      </c>
      <c r="H22" s="119">
        <f>SUMIF('2.2'!$A$7:$A$46,'3'!$A22,'2.2'!$I$7:$I$46)</f>
        <v>0</v>
      </c>
      <c r="I22" s="119">
        <f>SUMIF('2.2'!$A$7:$A$46,'3'!$A22,'2.2'!$J$7:$J$46)</f>
        <v>0</v>
      </c>
    </row>
    <row r="23" spans="1:9" ht="34" customHeight="1">
      <c r="A23" s="12" t="str">
        <f>data!$A$7</f>
        <v>Olulise osalusega juriidilisest isikust omanikud ning nende valitseva või olulise mõju all olevad ettevõtjad</v>
      </c>
      <c r="B23" s="119">
        <f>SUMIF('2.2'!$A$7:$A$46,'3'!$A23,'2.2'!$C$7:$C$46)</f>
        <v>0</v>
      </c>
      <c r="C23" s="119">
        <f>SUMIF('2.2'!$A$7:$A$46,'3'!$A23,'2.2'!$D$7:$D$46)</f>
        <v>0</v>
      </c>
      <c r="D23" s="119">
        <f>SUMIF('2.2'!$A$7:$A$46,'3'!$A23,'2.2'!$E$7:$E$46)</f>
        <v>0</v>
      </c>
      <c r="E23" s="120">
        <f>SUMIF('2.2'!$A$7:$A$46,'3'!$A23,'2.2'!$F$7:$F$46)</f>
        <v>0</v>
      </c>
      <c r="F23" s="121">
        <f>SUMIF('2.2'!$A$7:$A$46,'3'!$A23,'2.2'!$G$7:$G$46)</f>
        <v>0</v>
      </c>
      <c r="G23" s="119">
        <f>SUMIF('2.2'!$A$7:$A$46,'3'!$A23,'2.2'!$H$7:$H$46)</f>
        <v>0</v>
      </c>
      <c r="H23" s="119">
        <f>SUMIF('2.2'!$A$7:$A$46,'3'!$A23,'2.2'!$I$7:$I$46)</f>
        <v>0</v>
      </c>
      <c r="I23" s="119">
        <f>SUMIF('2.2'!$A$7:$A$46,'3'!$A23,'2.2'!$J$7:$J$46)</f>
        <v>0</v>
      </c>
    </row>
    <row r="24" spans="1:9" ht="34" customHeight="1">
      <c r="A24" s="12" t="str">
        <f>data!$A$8</f>
        <v>Tegev- ja kõrgema juhtkonna ning olulise osalusega eraisikust omanike lähedased pereliikmed ning nende valitseva või olulise mõju all olevad ettevõtjad</v>
      </c>
      <c r="B24" s="119">
        <f>SUMIF('2.2'!$A$7:$A$46,'3'!$A24,'2.2'!$C$7:$C$46)</f>
        <v>0</v>
      </c>
      <c r="C24" s="119">
        <f>SUMIF('2.2'!$A$7:$A$46,'3'!$A24,'2.2'!$D$7:$D$46)</f>
        <v>0</v>
      </c>
      <c r="D24" s="119">
        <f>SUMIF('2.2'!$A$7:$A$46,'3'!$A24,'2.2'!$E$7:$E$46)</f>
        <v>0</v>
      </c>
      <c r="E24" s="120">
        <f>SUMIF('2.2'!$A$7:$A$46,'3'!$A24,'2.2'!$F$7:$F$46)</f>
        <v>0</v>
      </c>
      <c r="F24" s="121">
        <f>SUMIF('2.2'!$A$7:$A$46,'3'!$A24,'2.2'!$G$7:$G$46)</f>
        <v>0</v>
      </c>
      <c r="G24" s="119">
        <f>SUMIF('2.2'!$A$7:$A$46,'3'!$A24,'2.2'!$H$7:$H$46)</f>
        <v>0</v>
      </c>
      <c r="H24" s="119">
        <f>SUMIF('2.2'!$A$7:$A$46,'3'!$A24,'2.2'!$I$7:$I$46)</f>
        <v>0</v>
      </c>
      <c r="I24" s="119">
        <f>SUMIF('2.2'!$A$7:$A$46,'3'!$A24,'2.2'!$J$7:$J$46)</f>
        <v>0</v>
      </c>
    </row>
    <row r="25" spans="1:9" ht="17" customHeight="1">
      <c r="A25" s="12" t="str">
        <f>data!$A$9</f>
        <v>Muu seotud osapool</v>
      </c>
      <c r="B25" s="119">
        <f>SUMIF('2.2'!$A$7:$A$46,'3'!$A25,'2.2'!$C$7:$C$46)</f>
        <v>0</v>
      </c>
      <c r="C25" s="119">
        <f>SUMIF('2.2'!$A$7:$A$46,'3'!$A25,'2.2'!$D$7:$D$46)</f>
        <v>0</v>
      </c>
      <c r="D25" s="119">
        <f>SUMIF('2.2'!$A$7:$A$46,'3'!$A25,'2.2'!$E$7:$E$46)</f>
        <v>0</v>
      </c>
      <c r="E25" s="120">
        <f>SUMIF('2.2'!$A$7:$A$46,'3'!$A25,'2.2'!$F$7:$F$46)</f>
        <v>0</v>
      </c>
      <c r="F25" s="121">
        <f>SUMIF('2.2'!$A$7:$A$46,'3'!$A25,'2.2'!$G$7:$G$46)</f>
        <v>0</v>
      </c>
      <c r="G25" s="119">
        <f>SUMIF('2.2'!$A$7:$A$46,'3'!$A25,'2.2'!$H$7:$H$46)</f>
        <v>0</v>
      </c>
      <c r="H25" s="119">
        <f>SUMIF('2.2'!$A$7:$A$46,'3'!$A25,'2.2'!$I$7:$I$46)</f>
        <v>0</v>
      </c>
      <c r="I25" s="119">
        <f>SUMIF('2.2'!$A$7:$A$46,'3'!$A25,'2.2'!$J$7:$J$46)</f>
        <v>0</v>
      </c>
    </row>
    <row r="26" spans="1:9">
      <c r="B26" s="122">
        <f t="shared" ref="B26:I26" si="1">SUM(B18:B25)</f>
        <v>0</v>
      </c>
      <c r="C26" s="122">
        <f t="shared" si="1"/>
        <v>0</v>
      </c>
      <c r="D26" s="122">
        <f t="shared" si="1"/>
        <v>0</v>
      </c>
      <c r="E26" s="122">
        <f t="shared" si="1"/>
        <v>0</v>
      </c>
      <c r="F26" s="122">
        <f t="shared" si="1"/>
        <v>0</v>
      </c>
      <c r="G26" s="122">
        <f t="shared" si="1"/>
        <v>0</v>
      </c>
      <c r="H26" s="122">
        <f t="shared" si="1"/>
        <v>0</v>
      </c>
      <c r="I26" s="122">
        <f t="shared" si="1"/>
        <v>0</v>
      </c>
    </row>
    <row r="29" spans="1:9" ht="19" customHeight="1">
      <c r="B29" s="158" t="str">
        <f>'2.3'!C5</f>
        <v>MÜÜDUD</v>
      </c>
      <c r="C29" s="142"/>
      <c r="D29" s="149"/>
      <c r="E29" s="144" t="str">
        <f>'2.3'!F5</f>
        <v>OSTETUD</v>
      </c>
      <c r="F29" s="142"/>
      <c r="G29" s="143"/>
    </row>
    <row r="30" spans="1:9" ht="34" customHeight="1">
      <c r="B30" s="7" t="str">
        <f>'2.3'!C6</f>
        <v>Kaubad</v>
      </c>
      <c r="C30" s="7" t="str">
        <f>'2.3'!D6</f>
        <v>Teenused</v>
      </c>
      <c r="D30" s="13" t="str">
        <f>'2.3'!E6</f>
        <v>Põhivarad</v>
      </c>
      <c r="E30" s="17" t="str">
        <f>B30</f>
        <v>Kaubad</v>
      </c>
      <c r="F30" s="7" t="str">
        <f>C30</f>
        <v>Teenused</v>
      </c>
      <c r="G30" s="7" t="str">
        <f>D30</f>
        <v>Põhivarad</v>
      </c>
    </row>
    <row r="31" spans="1:9" ht="17" customHeight="1">
      <c r="A31" s="12" t="str">
        <f>data!$A$2</f>
        <v>Emaettevõtja</v>
      </c>
      <c r="B31" s="119">
        <f>SUMIF('2.3'!$A$7:$A$46,'3'!$A31,'2.3'!$C$7:$C$46)</f>
        <v>0</v>
      </c>
      <c r="C31" s="119">
        <f>SUMIF('2.3'!$A$7:$A$46,'3'!$A31,'2.3'!$D$7:$D$46)</f>
        <v>0</v>
      </c>
      <c r="D31" s="120">
        <f>SUMIF('2.3'!$A$7:$A$46,'3'!$A31,'2.3'!$E$7:$E$46)</f>
        <v>0</v>
      </c>
      <c r="E31" s="121">
        <f>SUMIF('2.3'!$A$7:$A$46,'3'!$A31,'2.3'!$F$7:$F$46)</f>
        <v>0</v>
      </c>
      <c r="F31" s="119">
        <f>SUMIF('2.3'!$A$7:$A$46,'3'!$A31,'2.3'!$G$7:$G$46)</f>
        <v>0</v>
      </c>
      <c r="G31" s="119">
        <f>SUMIF('2.3'!$A$7:$A$46,'3'!$A31,'2.3'!$H$7:$H$46)</f>
        <v>0</v>
      </c>
    </row>
    <row r="32" spans="1:9" ht="17" customHeight="1">
      <c r="A32" s="12" t="str">
        <f>data!$A$3</f>
        <v>Tütarettevõtjad</v>
      </c>
      <c r="B32" s="119">
        <f>SUMIF('2.3'!$A$7:$A$46,'3'!$A32,'2.3'!$C$7:$C$46)</f>
        <v>0</v>
      </c>
      <c r="C32" s="119">
        <f>SUMIF('2.3'!$A$7:$A$46,'3'!$A32,'2.3'!$D$7:$D$46)</f>
        <v>0</v>
      </c>
      <c r="D32" s="120">
        <f>SUMIF('2.3'!$A$7:$A$46,'3'!$A32,'2.3'!$E$7:$E$46)</f>
        <v>0</v>
      </c>
      <c r="E32" s="121">
        <f>SUMIF('2.3'!$A$7:$A$46,'3'!$A32,'2.3'!$F$7:$F$46)</f>
        <v>0</v>
      </c>
      <c r="F32" s="119">
        <f>SUMIF('2.3'!$A$7:$A$46,'3'!$A32,'2.3'!$G$7:$G$46)</f>
        <v>0</v>
      </c>
      <c r="G32" s="119">
        <f>SUMIF('2.3'!$A$7:$A$46,'3'!$A32,'2.3'!$H$7:$H$46)</f>
        <v>0</v>
      </c>
    </row>
    <row r="33" spans="1:7" ht="17" customHeight="1">
      <c r="A33" s="12" t="str">
        <f>data!$A$4</f>
        <v>Sidusettevõtjad</v>
      </c>
      <c r="B33" s="119">
        <f>SUMIF('2.3'!$A$7:$A$46,'3'!$A33,'2.3'!$C$7:$C$46)</f>
        <v>0</v>
      </c>
      <c r="C33" s="119">
        <f>SUMIF('2.3'!$A$7:$A$46,'3'!$A33,'2.3'!$D$7:$D$46)</f>
        <v>0</v>
      </c>
      <c r="D33" s="120">
        <f>SUMIF('2.3'!$A$7:$A$46,'3'!$A33,'2.3'!$E$7:$E$46)</f>
        <v>0</v>
      </c>
      <c r="E33" s="121">
        <f>SUMIF('2.3'!$A$7:$A$46,'3'!$A33,'2.3'!$F$7:$F$46)</f>
        <v>0</v>
      </c>
      <c r="F33" s="119">
        <f>SUMIF('2.3'!$A$7:$A$46,'3'!$A33,'2.3'!$G$7:$G$46)</f>
        <v>0</v>
      </c>
      <c r="G33" s="119">
        <f>SUMIF('2.3'!$A$7:$A$46,'3'!$A33,'2.3'!$H$7:$H$46)</f>
        <v>0</v>
      </c>
    </row>
    <row r="34" spans="1:7" ht="17" customHeight="1">
      <c r="A34" s="12" t="str">
        <f>data!$A$5</f>
        <v>Teised samasse konsolideerimisgruppi kuuluvad ettevõtjad</v>
      </c>
      <c r="B34" s="119">
        <f>SUMIF('2.3'!$A$7:$A$46,'3'!$A34,'2.3'!$C$7:$C$46)</f>
        <v>0</v>
      </c>
      <c r="C34" s="119">
        <f>SUMIF('2.3'!$A$7:$A$46,'3'!$A34,'2.3'!$D$7:$D$46)</f>
        <v>0</v>
      </c>
      <c r="D34" s="120">
        <f>SUMIF('2.3'!$A$7:$A$46,'3'!$A34,'2.3'!$E$7:$E$46)</f>
        <v>0</v>
      </c>
      <c r="E34" s="121">
        <f>SUMIF('2.3'!$A$7:$A$46,'3'!$A34,'2.3'!$F$7:$F$46)</f>
        <v>0</v>
      </c>
      <c r="F34" s="119">
        <f>SUMIF('2.3'!$A$7:$A$46,'3'!$A34,'2.3'!$G$7:$G$46)</f>
        <v>0</v>
      </c>
      <c r="G34" s="119">
        <f>SUMIF('2.3'!$A$7:$A$46,'3'!$A34,'2.3'!$H$7:$H$46)</f>
        <v>0</v>
      </c>
    </row>
    <row r="35" spans="1:7" ht="51" customHeight="1">
      <c r="A35" s="12" t="str">
        <f>data!$A$6</f>
        <v>Tegev- ja kõrgem juhtkond ning olulise osalusega eraisikutest omanikud ning nende valitseva või olulise mõju all olevad ettevõtjad</v>
      </c>
      <c r="B35" s="119">
        <f>SUMIF('2.3'!$A$7:$A$46,'3'!$A35,'2.3'!$C$7:$C$46)</f>
        <v>0</v>
      </c>
      <c r="C35" s="119">
        <f>SUMIF('2.3'!$A$7:$A$46,'3'!$A35,'2.3'!$D$7:$D$46)</f>
        <v>0</v>
      </c>
      <c r="D35" s="120">
        <f>SUMIF('2.3'!$A$7:$A$46,'3'!$A35,'2.3'!$E$7:$E$46)</f>
        <v>0</v>
      </c>
      <c r="E35" s="121">
        <f>SUMIF('2.3'!$A$7:$A$46,'3'!$A35,'2.3'!$F$7:$F$46)</f>
        <v>0</v>
      </c>
      <c r="F35" s="119">
        <f>SUMIF('2.3'!$A$7:$A$46,'3'!$A35,'2.3'!$G$7:$G$46)</f>
        <v>0</v>
      </c>
      <c r="G35" s="119">
        <f>SUMIF('2.3'!$A$7:$A$46,'3'!$A35,'2.3'!$H$7:$H$46)</f>
        <v>0</v>
      </c>
    </row>
    <row r="36" spans="1:7" ht="34" customHeight="1">
      <c r="A36" s="12" t="str">
        <f>data!$A$7</f>
        <v>Olulise osalusega juriidilisest isikust omanikud ning nende valitseva või olulise mõju all olevad ettevõtjad</v>
      </c>
      <c r="B36" s="119">
        <f>SUMIF('2.3'!$A$7:$A$46,'3'!$A36,'2.3'!$C$7:$C$46)</f>
        <v>0</v>
      </c>
      <c r="C36" s="119">
        <f>SUMIF('2.3'!$A$7:$A$46,'3'!$A36,'2.3'!$D$7:$D$46)</f>
        <v>0</v>
      </c>
      <c r="D36" s="120">
        <f>SUMIF('2.3'!$A$7:$A$46,'3'!$A36,'2.3'!$E$7:$E$46)</f>
        <v>0</v>
      </c>
      <c r="E36" s="121">
        <f>SUMIF('2.3'!$A$7:$A$46,'3'!$A36,'2.3'!$F$7:$F$46)</f>
        <v>0</v>
      </c>
      <c r="F36" s="119">
        <f>SUMIF('2.3'!$A$7:$A$46,'3'!$A36,'2.3'!$G$7:$G$46)</f>
        <v>0</v>
      </c>
      <c r="G36" s="119">
        <f>SUMIF('2.3'!$A$7:$A$46,'3'!$A36,'2.3'!$H$7:$H$46)</f>
        <v>0</v>
      </c>
    </row>
    <row r="37" spans="1:7" ht="37" customHeight="1">
      <c r="A37" s="12" t="str">
        <f>data!$A$8</f>
        <v>Tegev- ja kõrgema juhtkonna ning olulise osalusega eraisikust omanike lähedased pereliikmed ning nende valitseva või olulise mõju all olevad ettevõtjad</v>
      </c>
      <c r="B37" s="119">
        <f>SUMIF('2.3'!$A$7:$A$46,'3'!$A37,'2.3'!$C$7:$C$46)</f>
        <v>0</v>
      </c>
      <c r="C37" s="119">
        <f>SUMIF('2.3'!$A$7:$A$46,'3'!$A37,'2.3'!$D$7:$D$46)</f>
        <v>0</v>
      </c>
      <c r="D37" s="120">
        <f>SUMIF('2.3'!$A$7:$A$46,'3'!$A37,'2.3'!$E$7:$E$46)</f>
        <v>0</v>
      </c>
      <c r="E37" s="121">
        <f>SUMIF('2.3'!$A$7:$A$46,'3'!$A37,'2.3'!$F$7:$F$46)</f>
        <v>0</v>
      </c>
      <c r="F37" s="119">
        <f>SUMIF('2.3'!$A$7:$A$46,'3'!$A37,'2.3'!$G$7:$G$46)</f>
        <v>0</v>
      </c>
      <c r="G37" s="119">
        <f>SUMIF('2.3'!$A$7:$A$46,'3'!$A37,'2.3'!$H$7:$H$46)</f>
        <v>0</v>
      </c>
    </row>
    <row r="38" spans="1:7" ht="17" customHeight="1">
      <c r="A38" s="12" t="str">
        <f>data!$A$9</f>
        <v>Muu seotud osapool</v>
      </c>
      <c r="B38" s="119">
        <f>SUMIF('2.3'!$A$7:$A$46,'3'!$A38,'2.3'!$C$7:$C$46)</f>
        <v>0</v>
      </c>
      <c r="C38" s="119">
        <f>SUMIF('2.3'!$A$7:$A$46,'3'!$A38,'2.3'!$D$7:$D$46)</f>
        <v>0</v>
      </c>
      <c r="D38" s="120">
        <f>SUMIF('2.3'!$A$7:$A$46,'3'!$A38,'2.3'!$E$7:$E$46)</f>
        <v>0</v>
      </c>
      <c r="E38" s="121">
        <f>SUMIF('2.3'!$A$7:$A$46,'3'!$A38,'2.3'!$F$7:$F$46)</f>
        <v>0</v>
      </c>
      <c r="F38" s="119">
        <f>SUMIF('2.3'!$A$7:$A$46,'3'!$A38,'2.3'!$G$7:$G$46)</f>
        <v>0</v>
      </c>
      <c r="G38" s="119">
        <f>SUMIF('2.3'!$A$7:$A$46,'3'!$A38,'2.3'!$H$7:$H$46)</f>
        <v>0</v>
      </c>
    </row>
    <row r="39" spans="1:7">
      <c r="B39" s="122">
        <f t="shared" ref="B39:G39" si="2">SUM(B31:B38)</f>
        <v>0</v>
      </c>
      <c r="C39" s="122">
        <f t="shared" si="2"/>
        <v>0</v>
      </c>
      <c r="D39" s="122">
        <f t="shared" si="2"/>
        <v>0</v>
      </c>
      <c r="E39" s="122">
        <f t="shared" si="2"/>
        <v>0</v>
      </c>
      <c r="F39" s="122">
        <f t="shared" si="2"/>
        <v>0</v>
      </c>
      <c r="G39" s="122">
        <f t="shared" si="2"/>
        <v>0</v>
      </c>
    </row>
    <row r="42" spans="1:7" ht="34" customHeight="1">
      <c r="B42" s="61" t="str">
        <f>'2.4'!C6</f>
        <v>ANTUD GARANTIID/TAGATISED</v>
      </c>
      <c r="C42" s="61" t="str">
        <f>'2.4'!D6</f>
        <v>SAADUD GARANTIID/TAGATISED</v>
      </c>
    </row>
    <row r="43" spans="1:7" ht="17" customHeight="1">
      <c r="A43" s="12" t="str">
        <f>data!$A$2</f>
        <v>Emaettevõtja</v>
      </c>
      <c r="B43" s="119">
        <f>SUMIF('2.4'!$A$7:$A$46,'3'!$A43,'2.4'!$C$7:$C$46)</f>
        <v>0</v>
      </c>
      <c r="C43" s="119">
        <f>SUMIF('2.4'!$A$7:$A$46,'3'!$A43,'2.4'!$D$7:$D$46)</f>
        <v>0</v>
      </c>
    </row>
    <row r="44" spans="1:7" ht="17" customHeight="1">
      <c r="A44" s="12" t="str">
        <f>data!$A$3</f>
        <v>Tütarettevõtjad</v>
      </c>
      <c r="B44" s="119">
        <f>SUMIF('2.4'!$A$7:$A$46,'3'!$A44,'2.4'!$C$7:$C$46)</f>
        <v>0</v>
      </c>
      <c r="C44" s="119">
        <f>SUMIF('2.4'!$A$7:$A$46,'3'!$A44,'2.4'!$D$7:$D$46)</f>
        <v>0</v>
      </c>
    </row>
    <row r="45" spans="1:7" ht="17" customHeight="1">
      <c r="A45" s="12" t="str">
        <f>data!$A$4</f>
        <v>Sidusettevõtjad</v>
      </c>
      <c r="B45" s="119">
        <f>SUMIF('2.4'!$A$7:$A$46,'3'!$A45,'2.4'!$C$7:$C$46)</f>
        <v>0</v>
      </c>
      <c r="C45" s="119">
        <f>SUMIF('2.4'!$A$7:$A$46,'3'!$A45,'2.4'!$D$7:$D$46)</f>
        <v>0</v>
      </c>
    </row>
    <row r="46" spans="1:7" ht="17" customHeight="1">
      <c r="A46" s="12" t="str">
        <f>data!$A$5</f>
        <v>Teised samasse konsolideerimisgruppi kuuluvad ettevõtjad</v>
      </c>
      <c r="B46" s="119">
        <f>SUMIF('2.4'!$A$7:$A$46,'3'!$A46,'2.4'!$C$7:$C$46)</f>
        <v>0</v>
      </c>
      <c r="C46" s="119">
        <f>SUMIF('2.4'!$A$7:$A$46,'3'!$A46,'2.4'!$D$7:$D$46)</f>
        <v>0</v>
      </c>
    </row>
    <row r="47" spans="1:7" ht="51" customHeight="1">
      <c r="A47" s="12" t="str">
        <f>data!$A$6</f>
        <v>Tegev- ja kõrgem juhtkond ning olulise osalusega eraisikutest omanikud ning nende valitseva või olulise mõju all olevad ettevõtjad</v>
      </c>
      <c r="B47" s="119">
        <f>SUMIF('2.4'!$A$7:$A$46,'3'!$A47,'2.4'!$C$7:$C$46)</f>
        <v>0</v>
      </c>
      <c r="C47" s="119">
        <f>SUMIF('2.4'!$A$7:$A$46,'3'!$A47,'2.4'!$D$7:$D$46)</f>
        <v>0</v>
      </c>
    </row>
    <row r="48" spans="1:7" ht="34" customHeight="1">
      <c r="A48" s="12" t="str">
        <f>data!$A$7</f>
        <v>Olulise osalusega juriidilisest isikust omanikud ning nende valitseva või olulise mõju all olevad ettevõtjad</v>
      </c>
      <c r="B48" s="119">
        <f>SUMIF('2.4'!$A$7:$A$46,'3'!$A48,'2.4'!$C$7:$C$46)</f>
        <v>0</v>
      </c>
      <c r="C48" s="119">
        <f>SUMIF('2.4'!$A$7:$A$46,'3'!$A48,'2.4'!$D$7:$D$46)</f>
        <v>0</v>
      </c>
    </row>
    <row r="49" spans="1:3" ht="36" customHeight="1">
      <c r="A49" s="12" t="str">
        <f>data!$A$8</f>
        <v>Tegev- ja kõrgema juhtkonna ning olulise osalusega eraisikust omanike lähedased pereliikmed ning nende valitseva või olulise mõju all olevad ettevõtjad</v>
      </c>
      <c r="B49" s="119">
        <f>SUMIF('2.4'!$A$7:$A$46,'3'!$A49,'2.4'!$C$7:$C$46)</f>
        <v>0</v>
      </c>
      <c r="C49" s="119">
        <f>SUMIF('2.4'!$A$7:$A$46,'3'!$A49,'2.4'!$D$7:$D$46)</f>
        <v>0</v>
      </c>
    </row>
    <row r="50" spans="1:3" ht="17" customHeight="1">
      <c r="A50" s="12" t="str">
        <f>data!$A$9</f>
        <v>Muu seotud osapool</v>
      </c>
      <c r="B50" s="119">
        <f>SUMIF('2.4'!$A$7:$A$46,'3'!$A50,'2.4'!$C$7:$C$46)</f>
        <v>0</v>
      </c>
      <c r="C50" s="119">
        <f>SUMIF('2.4'!$A$7:$A$46,'3'!$A50,'2.4'!$D$7:$D$46)</f>
        <v>0</v>
      </c>
    </row>
    <row r="51" spans="1:3">
      <c r="B51" s="122">
        <f>SUM(B43:B50)</f>
        <v>0</v>
      </c>
      <c r="C51" s="122">
        <f>SUM(C43:C50)</f>
        <v>0</v>
      </c>
    </row>
  </sheetData>
  <sheetProtection sheet="1" selectLockedCells="1"/>
  <mergeCells count="7">
    <mergeCell ref="B1:C1"/>
    <mergeCell ref="B3:D3"/>
    <mergeCell ref="E3:G3"/>
    <mergeCell ref="B29:D29"/>
    <mergeCell ref="E29:G29"/>
    <mergeCell ref="F16:I16"/>
    <mergeCell ref="B16:E16"/>
  </mergeCells>
  <conditionalFormatting sqref="B5:G12">
    <cfRule type="cellIs" dxfId="18" priority="45" operator="equal">
      <formula>0</formula>
    </cfRule>
  </conditionalFormatting>
  <conditionalFormatting sqref="B31:G38">
    <cfRule type="cellIs" dxfId="17" priority="2" operator="equal">
      <formula>0</formula>
    </cfRule>
  </conditionalFormatting>
  <conditionalFormatting sqref="B17:I25 B43:C50">
    <cfRule type="cellIs" dxfId="16" priority="48" operator="equal">
      <formula>0</formula>
    </cfRule>
  </conditionalFormatting>
  <hyperlinks>
    <hyperlink ref="B1" location="'Juhend-Руководство-Instructions'!A1" display="Руководство"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I51"/>
  <sheetViews>
    <sheetView topLeftCell="A9" zoomScale="150" zoomScaleNormal="150" workbookViewId="0">
      <selection activeCell="H19" sqref="H19"/>
    </sheetView>
  </sheetViews>
  <sheetFormatPr baseColWidth="10" defaultColWidth="10.83203125" defaultRowHeight="16"/>
  <cols>
    <col min="1" max="1" width="68.33203125" style="3" customWidth="1"/>
    <col min="2" max="2" width="23.83203125" style="3" customWidth="1"/>
    <col min="3" max="3" width="25.5" style="3" customWidth="1"/>
    <col min="4" max="7" width="17.33203125" style="3" customWidth="1"/>
    <col min="8" max="9" width="20.83203125" style="3" customWidth="1"/>
    <col min="10" max="11" width="10.83203125" style="3" customWidth="1"/>
    <col min="12" max="16384" width="10.83203125" style="3"/>
  </cols>
  <sheetData>
    <row r="1" spans="1:9" ht="17" customHeight="1">
      <c r="A1" s="10" t="str">
        <f>IF(Language="Eesti keel", "ANDMED SEOTUD OSAPOOLTE LISAST",IF(Language="Русский язык", "ДАННЫЕ ИЗ СООТВЕТСТВУЮЩЕГО ПРИЛОЖЕНИЯ В ОТЧЕТЕ","EN"))</f>
        <v>ANDMED SEOTUD OSAPOOLTE LISAST</v>
      </c>
      <c r="B1" s="139" t="s">
        <v>6</v>
      </c>
      <c r="C1" s="140"/>
    </row>
    <row r="2" spans="1:9" ht="20" customHeight="1">
      <c r="A2" s="93" t="str">
        <f>_xlfn.XLOOKUP("companies__name",var!$A:$A,var!$C:$C)</f>
        <v>RTS Infra Eesti OÜ</v>
      </c>
      <c r="B2" s="94">
        <f>_xlfn.XLOOKUP("projects__annual_report_end",var!$A:$A,var!$C:$C)</f>
        <v>45291</v>
      </c>
    </row>
    <row r="3" spans="1:9" ht="19" customHeight="1">
      <c r="B3" s="159" t="str">
        <f>'2.1'!C4</f>
        <v>LÜHIAJALISED</v>
      </c>
      <c r="C3" s="160"/>
      <c r="D3" s="161"/>
      <c r="E3" s="162" t="str">
        <f>'2.1'!I4</f>
        <v>PIKAAJALISED</v>
      </c>
      <c r="F3" s="160"/>
      <c r="G3" s="161"/>
    </row>
    <row r="4" spans="1:9" ht="84" customHeight="1">
      <c r="B4" s="50" t="str">
        <f>'2.1'!C5</f>
        <v>Nõuded ja ettemaksed</v>
      </c>
      <c r="C4" s="50" t="str">
        <f>'2.1'!F5</f>
        <v>Laenukohustised</v>
      </c>
      <c r="D4" s="58" t="str">
        <f>'2.1'!G5</f>
        <v>Võlad ja ettemaksed</v>
      </c>
      <c r="E4" s="17" t="str">
        <f>B4</f>
        <v>Nõuded ja ettemaksed</v>
      </c>
      <c r="F4" s="7" t="str">
        <f>C4</f>
        <v>Laenukohustised</v>
      </c>
      <c r="G4" s="50" t="str">
        <f>D4</f>
        <v>Võlad ja ettemaksed</v>
      </c>
    </row>
    <row r="5" spans="1:9" ht="17" customHeight="1">
      <c r="A5" s="12" t="str">
        <f>data!A2</f>
        <v>Emaettevõtja</v>
      </c>
      <c r="B5" s="123"/>
      <c r="C5" s="123"/>
      <c r="D5" s="124"/>
      <c r="E5" s="125"/>
      <c r="F5" s="123"/>
      <c r="G5" s="123"/>
    </row>
    <row r="6" spans="1:9" ht="17" customHeight="1">
      <c r="A6" s="12" t="str">
        <f>data!A3</f>
        <v>Tütarettevõtjad</v>
      </c>
      <c r="B6" s="123"/>
      <c r="C6" s="123"/>
      <c r="D6" s="124"/>
      <c r="E6" s="125"/>
      <c r="F6" s="123"/>
      <c r="G6" s="123"/>
    </row>
    <row r="7" spans="1:9" ht="17" customHeight="1">
      <c r="A7" s="12" t="str">
        <f>data!A4</f>
        <v>Sidusettevõtjad</v>
      </c>
      <c r="B7" s="123"/>
      <c r="C7" s="123"/>
      <c r="D7" s="124"/>
      <c r="E7" s="125"/>
      <c r="F7" s="123"/>
      <c r="G7" s="123"/>
    </row>
    <row r="8" spans="1:9" ht="21" customHeight="1">
      <c r="A8" s="12" t="str">
        <f>data!A5</f>
        <v>Teised samasse konsolideerimisgruppi kuuluvad ettevõtjad</v>
      </c>
      <c r="B8" s="123"/>
      <c r="C8" s="123"/>
      <c r="D8" s="124"/>
      <c r="E8" s="125"/>
      <c r="F8" s="123"/>
      <c r="G8" s="123"/>
    </row>
    <row r="9" spans="1:9" ht="59" customHeight="1">
      <c r="A9" s="12" t="str">
        <f>data!A6</f>
        <v>Tegev- ja kõrgem juhtkond ning olulise osalusega eraisikutest omanikud ning nende valitseva või olulise mõju all olevad ettevõtjad</v>
      </c>
      <c r="B9" s="123"/>
      <c r="C9" s="123"/>
      <c r="D9" s="124"/>
      <c r="E9" s="125"/>
      <c r="F9" s="123"/>
      <c r="G9" s="123"/>
    </row>
    <row r="10" spans="1:9" ht="57" customHeight="1">
      <c r="A10" s="12" t="str">
        <f>data!A7</f>
        <v>Olulise osalusega juriidilisest isikust omanikud ning nende valitseva või olulise mõju all olevad ettevõtjad</v>
      </c>
      <c r="B10" s="123"/>
      <c r="C10" s="123"/>
      <c r="D10" s="124"/>
      <c r="E10" s="125"/>
      <c r="F10" s="123"/>
      <c r="G10" s="123"/>
    </row>
    <row r="11" spans="1:9" ht="69" customHeight="1">
      <c r="A11" s="12" t="str">
        <f>data!A8</f>
        <v>Tegev- ja kõrgema juhtkonna ning olulise osalusega eraisikust omanike lähedased pereliikmed ning nende valitseva või olulise mõju all olevad ettevõtjad</v>
      </c>
      <c r="B11" s="123"/>
      <c r="C11" s="123"/>
      <c r="D11" s="124"/>
      <c r="E11" s="125"/>
      <c r="F11" s="123"/>
      <c r="G11" s="123"/>
    </row>
    <row r="12" spans="1:9" ht="17" customHeight="1">
      <c r="A12" s="12" t="str">
        <f>data!A9</f>
        <v>Muu seotud osapool</v>
      </c>
      <c r="B12" s="123"/>
      <c r="C12" s="123"/>
      <c r="D12" s="124"/>
      <c r="E12" s="125"/>
      <c r="F12" s="123"/>
      <c r="G12" s="123"/>
    </row>
    <row r="13" spans="1:9">
      <c r="B13" s="122">
        <f t="shared" ref="B13:G13" si="0">SUM(B5:B12)</f>
        <v>0</v>
      </c>
      <c r="C13" s="122">
        <f t="shared" si="0"/>
        <v>0</v>
      </c>
      <c r="D13" s="122">
        <f t="shared" si="0"/>
        <v>0</v>
      </c>
      <c r="E13" s="122">
        <f t="shared" si="0"/>
        <v>0</v>
      </c>
      <c r="F13" s="122">
        <f t="shared" si="0"/>
        <v>0</v>
      </c>
      <c r="G13" s="122">
        <f t="shared" si="0"/>
        <v>0</v>
      </c>
    </row>
    <row r="16" spans="1:9" ht="19" customHeight="1">
      <c r="B16" s="163" t="str">
        <f>'2.2'!C5</f>
        <v>LAENUNÕUDED</v>
      </c>
      <c r="C16" s="164"/>
      <c r="D16" s="164"/>
      <c r="E16" s="165"/>
      <c r="F16" s="166" t="str">
        <f>'2.2'!G5</f>
        <v>LAENUKOHUSTISED (saadud laenud)</v>
      </c>
      <c r="G16" s="164"/>
      <c r="H16" s="164"/>
      <c r="I16" s="167"/>
    </row>
    <row r="17" spans="1:9" ht="57" customHeight="1">
      <c r="B17" s="7" t="str">
        <f>'2.2'!C6</f>
        <v>Antud laenud</v>
      </c>
      <c r="C17" s="7" t="str">
        <f>'2.2'!D6</f>
        <v>Antud laenude tagasimaksed</v>
      </c>
      <c r="D17" s="38">
        <f>_xlfn.XLOOKUP("projects__annual_report_end",var!$A:$A,var!$C:$C)</f>
        <v>45291</v>
      </c>
      <c r="E17" s="13" t="str">
        <f>'2.2'!F6</f>
        <v>Perioodi arvestatud intressid</v>
      </c>
      <c r="F17" s="17" t="str">
        <f>'2.2'!G6</f>
        <v>Saadud laenud</v>
      </c>
      <c r="G17" s="7" t="str">
        <f>'2.2'!H6</f>
        <v>Saadud laenude tagasimaksed</v>
      </c>
      <c r="H17" s="39">
        <f>_xlfn.XLOOKUP("projects__annual_report_end",var!$A:$A,var!$C:$C)</f>
        <v>45291</v>
      </c>
      <c r="I17" s="50" t="str">
        <f>'2.2'!J6</f>
        <v>Perioodi arvestatud intressid</v>
      </c>
    </row>
    <row r="18" spans="1:9" ht="17" customHeight="1">
      <c r="A18" s="12" t="str">
        <f t="shared" ref="A18:A25" si="1">A5</f>
        <v>Emaettevõtja</v>
      </c>
      <c r="B18" s="123"/>
      <c r="C18" s="123"/>
      <c r="D18" s="124"/>
      <c r="E18" s="124"/>
      <c r="F18" s="125"/>
      <c r="G18" s="123"/>
      <c r="H18" s="123"/>
      <c r="I18" s="123"/>
    </row>
    <row r="19" spans="1:9" ht="17" customHeight="1">
      <c r="A19" s="12" t="str">
        <f t="shared" si="1"/>
        <v>Tütarettevõtjad</v>
      </c>
      <c r="B19" s="123"/>
      <c r="C19" s="123"/>
      <c r="D19" s="124"/>
      <c r="E19" s="124"/>
      <c r="F19" s="125"/>
      <c r="G19" s="123"/>
      <c r="H19" s="123"/>
      <c r="I19" s="123"/>
    </row>
    <row r="20" spans="1:9" ht="17" customHeight="1">
      <c r="A20" s="12" t="str">
        <f t="shared" si="1"/>
        <v>Sidusettevõtjad</v>
      </c>
      <c r="B20" s="123"/>
      <c r="C20" s="123"/>
      <c r="D20" s="124"/>
      <c r="E20" s="124"/>
      <c r="F20" s="125"/>
      <c r="G20" s="123"/>
      <c r="H20" s="123"/>
      <c r="I20" s="123"/>
    </row>
    <row r="21" spans="1:9" ht="42" customHeight="1">
      <c r="A21" s="12" t="str">
        <f t="shared" si="1"/>
        <v>Teised samasse konsolideerimisgruppi kuuluvad ettevõtjad</v>
      </c>
      <c r="B21" s="123"/>
      <c r="C21" s="123"/>
      <c r="D21" s="124"/>
      <c r="E21" s="124"/>
      <c r="F21" s="125"/>
      <c r="G21" s="123"/>
      <c r="H21" s="123"/>
      <c r="I21" s="123"/>
    </row>
    <row r="22" spans="1:9" ht="51" customHeight="1">
      <c r="A22" s="12" t="str">
        <f t="shared" si="1"/>
        <v>Tegev- ja kõrgem juhtkond ning olulise osalusega eraisikutest omanikud ning nende valitseva või olulise mõju all olevad ettevõtjad</v>
      </c>
      <c r="B22" s="123"/>
      <c r="C22" s="123"/>
      <c r="D22" s="124"/>
      <c r="E22" s="124"/>
      <c r="F22" s="125"/>
      <c r="G22" s="123"/>
      <c r="H22" s="123"/>
      <c r="I22" s="123"/>
    </row>
    <row r="23" spans="1:9" ht="57" customHeight="1">
      <c r="A23" s="12" t="str">
        <f t="shared" si="1"/>
        <v>Olulise osalusega juriidilisest isikust omanikud ning nende valitseva või olulise mõju all olevad ettevõtjad</v>
      </c>
      <c r="B23" s="123"/>
      <c r="C23" s="123"/>
      <c r="D23" s="124"/>
      <c r="E23" s="124"/>
      <c r="F23" s="125"/>
      <c r="G23" s="123"/>
      <c r="H23" s="123"/>
      <c r="I23" s="123"/>
    </row>
    <row r="24" spans="1:9" ht="58" customHeight="1">
      <c r="A24" s="12" t="str">
        <f t="shared" si="1"/>
        <v>Tegev- ja kõrgema juhtkonna ning olulise osalusega eraisikust omanike lähedased pereliikmed ning nende valitseva või olulise mõju all olevad ettevõtjad</v>
      </c>
      <c r="B24" s="123"/>
      <c r="C24" s="123"/>
      <c r="D24" s="124"/>
      <c r="E24" s="124"/>
      <c r="F24" s="125"/>
      <c r="G24" s="123"/>
      <c r="H24" s="123"/>
      <c r="I24" s="123"/>
    </row>
    <row r="25" spans="1:9" ht="17" customHeight="1">
      <c r="A25" s="12" t="str">
        <f t="shared" si="1"/>
        <v>Muu seotud osapool</v>
      </c>
      <c r="B25" s="123"/>
      <c r="C25" s="123"/>
      <c r="D25" s="124"/>
      <c r="E25" s="124"/>
      <c r="F25" s="125"/>
      <c r="G25" s="123"/>
      <c r="H25" s="123"/>
      <c r="I25" s="123"/>
    </row>
    <row r="26" spans="1:9">
      <c r="B26" s="122">
        <f>SUM(B18:B25)</f>
        <v>0</v>
      </c>
      <c r="C26" s="122">
        <f>SUM(C18:C25)</f>
        <v>0</v>
      </c>
      <c r="D26" s="122"/>
      <c r="E26" s="122">
        <f>SUM(E18:E25)</f>
        <v>0</v>
      </c>
      <c r="F26" s="122">
        <f>SUM(F18:F25)</f>
        <v>0</v>
      </c>
      <c r="G26" s="122">
        <f>SUM(G18:G25)</f>
        <v>0</v>
      </c>
      <c r="H26" s="122"/>
      <c r="I26" s="122">
        <f>SUM(I18:I25)</f>
        <v>0</v>
      </c>
    </row>
    <row r="29" spans="1:9" ht="19" customHeight="1">
      <c r="B29" s="163" t="str">
        <f>'2.3'!C5</f>
        <v>MÜÜDUD</v>
      </c>
      <c r="C29" s="164"/>
      <c r="D29" s="165"/>
      <c r="E29" s="166" t="str">
        <f>'2.3'!F5</f>
        <v>OSTETUD</v>
      </c>
      <c r="F29" s="164"/>
      <c r="G29" s="167"/>
    </row>
    <row r="30" spans="1:9" ht="48" customHeight="1">
      <c r="B30" s="7" t="str">
        <f>'2.3'!C6</f>
        <v>Kaubad</v>
      </c>
      <c r="C30" s="7" t="str">
        <f>'2.3'!D6</f>
        <v>Teenused</v>
      </c>
      <c r="D30" s="13" t="str">
        <f>'2.3'!E6</f>
        <v>Põhivarad</v>
      </c>
      <c r="E30" s="17" t="str">
        <f>B30</f>
        <v>Kaubad</v>
      </c>
      <c r="F30" s="7" t="str">
        <f>C30</f>
        <v>Teenused</v>
      </c>
      <c r="G30" s="7" t="str">
        <f>D30</f>
        <v>Põhivarad</v>
      </c>
    </row>
    <row r="31" spans="1:9" ht="17" customHeight="1">
      <c r="A31" s="12" t="str">
        <f t="shared" ref="A31:A38" si="2">A18</f>
        <v>Emaettevõtja</v>
      </c>
      <c r="B31" s="11"/>
      <c r="C31" s="11"/>
      <c r="D31" s="14"/>
      <c r="E31" s="16"/>
      <c r="F31" s="11"/>
      <c r="G31" s="11"/>
    </row>
    <row r="32" spans="1:9" ht="17" customHeight="1">
      <c r="A32" s="12" t="str">
        <f t="shared" si="2"/>
        <v>Tütarettevõtjad</v>
      </c>
      <c r="B32" s="11"/>
      <c r="C32" s="11"/>
      <c r="D32" s="14"/>
      <c r="E32" s="16"/>
      <c r="F32" s="11"/>
      <c r="G32" s="11"/>
    </row>
    <row r="33" spans="1:7" ht="17" customHeight="1">
      <c r="A33" s="12" t="str">
        <f t="shared" si="2"/>
        <v>Sidusettevõtjad</v>
      </c>
      <c r="B33" s="11"/>
      <c r="C33" s="11"/>
      <c r="D33" s="14"/>
      <c r="E33" s="16"/>
      <c r="F33" s="11"/>
      <c r="G33" s="11"/>
    </row>
    <row r="34" spans="1:7" ht="44" customHeight="1">
      <c r="A34" s="12" t="str">
        <f t="shared" si="2"/>
        <v>Teised samasse konsolideerimisgruppi kuuluvad ettevõtjad</v>
      </c>
      <c r="B34" s="11"/>
      <c r="C34" s="11"/>
      <c r="D34" s="14"/>
      <c r="E34" s="16"/>
      <c r="F34" s="11"/>
      <c r="G34" s="11"/>
    </row>
    <row r="35" spans="1:7" ht="56" customHeight="1">
      <c r="A35" s="12" t="str">
        <f t="shared" si="2"/>
        <v>Tegev- ja kõrgem juhtkond ning olulise osalusega eraisikutest omanikud ning nende valitseva või olulise mõju all olevad ettevõtjad</v>
      </c>
      <c r="B35" s="11"/>
      <c r="C35" s="11"/>
      <c r="D35" s="14"/>
      <c r="E35" s="16"/>
      <c r="F35" s="11"/>
      <c r="G35" s="11"/>
    </row>
    <row r="36" spans="1:7" ht="41" customHeight="1">
      <c r="A36" s="12" t="str">
        <f t="shared" si="2"/>
        <v>Olulise osalusega juriidilisest isikust omanikud ning nende valitseva või olulise mõju all olevad ettevõtjad</v>
      </c>
      <c r="B36" s="11"/>
      <c r="C36" s="11"/>
      <c r="D36" s="14"/>
      <c r="E36" s="16"/>
      <c r="F36" s="11"/>
      <c r="G36" s="11"/>
    </row>
    <row r="37" spans="1:7" ht="59" customHeight="1">
      <c r="A37" s="12" t="str">
        <f t="shared" si="2"/>
        <v>Tegev- ja kõrgema juhtkonna ning olulise osalusega eraisikust omanike lähedased pereliikmed ning nende valitseva või olulise mõju all olevad ettevõtjad</v>
      </c>
      <c r="B37" s="11"/>
      <c r="C37" s="11"/>
      <c r="D37" s="14"/>
      <c r="E37" s="16"/>
      <c r="F37" s="11"/>
      <c r="G37" s="11"/>
    </row>
    <row r="38" spans="1:7" ht="17" customHeight="1">
      <c r="A38" s="12" t="str">
        <f t="shared" si="2"/>
        <v>Muu seotud osapool</v>
      </c>
      <c r="B38" s="11"/>
      <c r="C38" s="11"/>
      <c r="D38" s="14"/>
      <c r="E38" s="16"/>
      <c r="F38" s="11"/>
      <c r="G38" s="15"/>
    </row>
    <row r="39" spans="1:7">
      <c r="B39" s="2">
        <f t="shared" ref="B39:G39" si="3">SUM(B31:B38)</f>
        <v>0</v>
      </c>
      <c r="C39" s="2">
        <f t="shared" si="3"/>
        <v>0</v>
      </c>
      <c r="D39" s="2">
        <f t="shared" si="3"/>
        <v>0</v>
      </c>
      <c r="E39" s="2">
        <f t="shared" si="3"/>
        <v>0</v>
      </c>
      <c r="F39" s="2">
        <f t="shared" si="3"/>
        <v>0</v>
      </c>
      <c r="G39" s="2">
        <f t="shared" si="3"/>
        <v>0</v>
      </c>
    </row>
    <row r="42" spans="1:7" ht="68" customHeight="1">
      <c r="B42" s="62" t="str">
        <f>'2.4'!C6</f>
        <v>ANTUD GARANTIID/TAGATISED</v>
      </c>
      <c r="C42" s="63" t="str">
        <f>'2.4'!D6</f>
        <v>SAADUD GARANTIID/TAGATISED</v>
      </c>
    </row>
    <row r="43" spans="1:7" ht="17" customHeight="1">
      <c r="A43" s="12" t="str">
        <f t="shared" ref="A43:A50" si="4">A31</f>
        <v>Emaettevõtja</v>
      </c>
      <c r="B43" s="14"/>
      <c r="C43" s="16"/>
    </row>
    <row r="44" spans="1:7" ht="17" customHeight="1">
      <c r="A44" s="12" t="str">
        <f t="shared" si="4"/>
        <v>Tütarettevõtjad</v>
      </c>
      <c r="B44" s="14"/>
      <c r="C44" s="16"/>
    </row>
    <row r="45" spans="1:7" ht="17" customHeight="1">
      <c r="A45" s="12" t="str">
        <f t="shared" si="4"/>
        <v>Sidusettevõtjad</v>
      </c>
      <c r="B45" s="14"/>
      <c r="C45" s="16"/>
    </row>
    <row r="46" spans="1:7" ht="42" customHeight="1">
      <c r="A46" s="12" t="str">
        <f t="shared" si="4"/>
        <v>Teised samasse konsolideerimisgruppi kuuluvad ettevõtjad</v>
      </c>
      <c r="B46" s="14"/>
      <c r="C46" s="16"/>
    </row>
    <row r="47" spans="1:7" ht="51" customHeight="1">
      <c r="A47" s="12" t="str">
        <f t="shared" si="4"/>
        <v>Tegev- ja kõrgem juhtkond ning olulise osalusega eraisikutest omanikud ning nende valitseva või olulise mõju all olevad ettevõtjad</v>
      </c>
      <c r="B47" s="14"/>
      <c r="C47" s="16"/>
    </row>
    <row r="48" spans="1:7" ht="54" customHeight="1">
      <c r="A48" s="12" t="str">
        <f t="shared" si="4"/>
        <v>Olulise osalusega juriidilisest isikust omanikud ning nende valitseva või olulise mõju all olevad ettevõtjad</v>
      </c>
      <c r="B48" s="14"/>
      <c r="C48" s="16"/>
    </row>
    <row r="49" spans="1:7" ht="62" customHeight="1">
      <c r="A49" s="12" t="str">
        <f t="shared" si="4"/>
        <v>Tegev- ja kõrgema juhtkonna ning olulise osalusega eraisikust omanike lähedased pereliikmed ning nende valitseva või olulise mõju all olevad ettevõtjad</v>
      </c>
      <c r="B49" s="14"/>
      <c r="C49" s="16"/>
    </row>
    <row r="50" spans="1:7" ht="34" customHeight="1">
      <c r="A50" s="12" t="str">
        <f t="shared" si="4"/>
        <v>Muu seotud osapool</v>
      </c>
      <c r="B50" s="14"/>
      <c r="C50" s="16"/>
    </row>
    <row r="51" spans="1:7">
      <c r="B51" s="2"/>
      <c r="C51" s="2"/>
      <c r="D51" s="2"/>
      <c r="E51" s="2"/>
      <c r="F51" s="2"/>
      <c r="G51" s="2"/>
    </row>
  </sheetData>
  <mergeCells count="7">
    <mergeCell ref="B1:C1"/>
    <mergeCell ref="B3:D3"/>
    <mergeCell ref="E3:G3"/>
    <mergeCell ref="B29:D29"/>
    <mergeCell ref="E29:G29"/>
    <mergeCell ref="B16:E16"/>
    <mergeCell ref="F16:I16"/>
  </mergeCells>
  <conditionalFormatting sqref="B43:C50">
    <cfRule type="cellIs" dxfId="15" priority="1" operator="equal">
      <formula>0</formula>
    </cfRule>
  </conditionalFormatting>
  <hyperlinks>
    <hyperlink ref="B1" location="'Juhend-Руководство-Instructions'!A1" display="Руководство"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I163"/>
  <sheetViews>
    <sheetView topLeftCell="B1" zoomScale="160" zoomScaleNormal="160" workbookViewId="0">
      <selection activeCell="J132" sqref="J132"/>
    </sheetView>
  </sheetViews>
  <sheetFormatPr baseColWidth="10" defaultColWidth="10.83203125" defaultRowHeight="16" outlineLevelRow="1"/>
  <cols>
    <col min="1" max="1" width="68.6640625" style="3" customWidth="1"/>
    <col min="2" max="2" width="30.6640625" style="3" customWidth="1"/>
    <col min="3" max="3" width="28.6640625" style="3" customWidth="1"/>
    <col min="4" max="9" width="20.6640625" style="3" customWidth="1"/>
    <col min="10" max="11" width="10.83203125" style="3" customWidth="1"/>
    <col min="12" max="16384" width="10.83203125" style="3"/>
  </cols>
  <sheetData>
    <row r="1" spans="1:9">
      <c r="A1" s="93" t="str">
        <f>_xlfn.XLOOKUP("companies__name",var!$A:$A,var!$C:$C)</f>
        <v>RTS Infra Eesti OÜ</v>
      </c>
      <c r="B1" s="94">
        <f>_xlfn.XLOOKUP("projects__annual_report_end",var!$A:$A,var!$C:$C)</f>
        <v>45291</v>
      </c>
    </row>
    <row r="2" spans="1:9" ht="24" customHeight="1">
      <c r="A2" s="168" t="str">
        <f>'Juhend-Руководство-Instructions'!B19</f>
        <v>Arvestusandmed</v>
      </c>
      <c r="B2" s="142"/>
      <c r="C2" s="142"/>
      <c r="D2" s="142"/>
      <c r="E2" s="142"/>
      <c r="F2" s="142"/>
      <c r="G2" s="142"/>
      <c r="H2" s="143"/>
      <c r="I2" s="65"/>
    </row>
    <row r="3" spans="1:9" hidden="1" outlineLevel="1">
      <c r="A3" s="65"/>
      <c r="B3" s="65"/>
      <c r="C3" s="65"/>
      <c r="D3" s="65"/>
      <c r="E3" s="65"/>
      <c r="F3" s="65"/>
      <c r="G3" s="65"/>
      <c r="H3" s="65"/>
      <c r="I3" s="65"/>
    </row>
    <row r="4" spans="1:9" hidden="1" outlineLevel="1">
      <c r="A4" s="65"/>
      <c r="B4" s="65"/>
      <c r="C4" s="65"/>
      <c r="D4" s="65"/>
      <c r="E4" s="65"/>
      <c r="F4" s="65"/>
      <c r="G4" s="65"/>
      <c r="H4" s="65"/>
      <c r="I4" s="65"/>
    </row>
    <row r="5" spans="1:9" ht="19" hidden="1" customHeight="1" outlineLevel="1">
      <c r="A5" s="65"/>
      <c r="B5" s="170" t="s">
        <v>8</v>
      </c>
      <c r="C5" s="152"/>
      <c r="D5" s="155"/>
      <c r="E5" s="171" t="s">
        <v>9</v>
      </c>
      <c r="F5" s="152"/>
      <c r="G5" s="155"/>
      <c r="H5" s="65"/>
      <c r="I5" s="65"/>
    </row>
    <row r="6" spans="1:9" ht="19" hidden="1" customHeight="1" outlineLevel="1">
      <c r="A6" s="65"/>
      <c r="B6" s="66" t="s">
        <v>10</v>
      </c>
      <c r="C6" s="66" t="s">
        <v>11</v>
      </c>
      <c r="D6" s="67" t="s">
        <v>12</v>
      </c>
      <c r="E6" s="68" t="s">
        <v>10</v>
      </c>
      <c r="F6" s="66" t="s">
        <v>11</v>
      </c>
      <c r="G6" s="66" t="s">
        <v>12</v>
      </c>
      <c r="H6" s="65"/>
      <c r="I6" s="65"/>
    </row>
    <row r="7" spans="1:9" ht="17" hidden="1" customHeight="1" outlineLevel="1">
      <c r="A7" s="69" t="str">
        <f>data!$A$2</f>
        <v>Emaettevõtja</v>
      </c>
      <c r="B7" s="70">
        <f>'3'!B5</f>
        <v>0</v>
      </c>
      <c r="C7" s="70">
        <f>'3'!C5</f>
        <v>0</v>
      </c>
      <c r="D7" s="71">
        <f>'3'!D5</f>
        <v>0</v>
      </c>
      <c r="E7" s="72">
        <f>'3'!E5</f>
        <v>0</v>
      </c>
      <c r="F7" s="70">
        <f>'3'!F5</f>
        <v>0</v>
      </c>
      <c r="G7" s="70">
        <f>'3'!G5</f>
        <v>0</v>
      </c>
      <c r="H7" s="65"/>
      <c r="I7" s="65"/>
    </row>
    <row r="8" spans="1:9" ht="17" hidden="1" customHeight="1" outlineLevel="1">
      <c r="A8" s="69" t="str">
        <f>data!$A$3</f>
        <v>Tütarettevõtjad</v>
      </c>
      <c r="B8" s="70">
        <f>'3'!B6</f>
        <v>0</v>
      </c>
      <c r="C8" s="70">
        <f>'3'!C6</f>
        <v>0</v>
      </c>
      <c r="D8" s="71">
        <f>'3'!D6</f>
        <v>0</v>
      </c>
      <c r="E8" s="72">
        <f>'3'!E6</f>
        <v>0</v>
      </c>
      <c r="F8" s="70">
        <f>'3'!F6</f>
        <v>0</v>
      </c>
      <c r="G8" s="70">
        <f>'3'!G6</f>
        <v>0</v>
      </c>
      <c r="H8" s="65"/>
      <c r="I8" s="65"/>
    </row>
    <row r="9" spans="1:9" ht="17" hidden="1" customHeight="1" outlineLevel="1">
      <c r="A9" s="69" t="str">
        <f>data!$A$4</f>
        <v>Sidusettevõtjad</v>
      </c>
      <c r="B9" s="70">
        <f>'3'!B7</f>
        <v>0</v>
      </c>
      <c r="C9" s="70">
        <f>'3'!C7</f>
        <v>0</v>
      </c>
      <c r="D9" s="71">
        <f>'3'!D7</f>
        <v>0</v>
      </c>
      <c r="E9" s="72">
        <f>'3'!E7</f>
        <v>0</v>
      </c>
      <c r="F9" s="70">
        <f>'3'!F7</f>
        <v>0</v>
      </c>
      <c r="G9" s="70">
        <f>'3'!G7</f>
        <v>0</v>
      </c>
      <c r="H9" s="65"/>
      <c r="I9" s="65"/>
    </row>
    <row r="10" spans="1:9" ht="19" hidden="1" customHeight="1" outlineLevel="1">
      <c r="A10" s="69" t="str">
        <f>data!$A$5</f>
        <v>Teised samasse konsolideerimisgruppi kuuluvad ettevõtjad</v>
      </c>
      <c r="B10" s="70">
        <f>'3'!B8</f>
        <v>0</v>
      </c>
      <c r="C10" s="70">
        <f>'3'!C8</f>
        <v>0</v>
      </c>
      <c r="D10" s="71">
        <f>'3'!D8</f>
        <v>0</v>
      </c>
      <c r="E10" s="72">
        <f>'3'!E8</f>
        <v>0</v>
      </c>
      <c r="F10" s="70">
        <f>'3'!F8</f>
        <v>0</v>
      </c>
      <c r="G10" s="70">
        <f>'3'!G8</f>
        <v>0</v>
      </c>
      <c r="H10" s="65"/>
      <c r="I10" s="65"/>
    </row>
    <row r="11" spans="1:9" ht="34" hidden="1" customHeight="1" outlineLevel="1">
      <c r="A11" s="69" t="str">
        <f>data!$A$6</f>
        <v>Tegev- ja kõrgem juhtkond ning olulise osalusega eraisikutest omanikud ning nende valitseva või olulise mõju all olevad ettevõtjad</v>
      </c>
      <c r="B11" s="70">
        <f>'3'!B9</f>
        <v>0</v>
      </c>
      <c r="C11" s="70">
        <f>'3'!C9</f>
        <v>0</v>
      </c>
      <c r="D11" s="71">
        <f>'3'!D9</f>
        <v>0</v>
      </c>
      <c r="E11" s="72">
        <f>'3'!E9</f>
        <v>0</v>
      </c>
      <c r="F11" s="70">
        <f>'3'!F9</f>
        <v>0</v>
      </c>
      <c r="G11" s="70">
        <f>'3'!G9</f>
        <v>0</v>
      </c>
      <c r="H11" s="65"/>
      <c r="I11" s="65"/>
    </row>
    <row r="12" spans="1:9" ht="34" hidden="1" customHeight="1" outlineLevel="1">
      <c r="A12" s="69" t="str">
        <f>data!$A$7</f>
        <v>Olulise osalusega juriidilisest isikust omanikud ning nende valitseva või olulise mõju all olevad ettevõtjad</v>
      </c>
      <c r="B12" s="70">
        <f>'3'!B10</f>
        <v>0</v>
      </c>
      <c r="C12" s="70">
        <f>'3'!C10</f>
        <v>0</v>
      </c>
      <c r="D12" s="71">
        <f>'3'!D10</f>
        <v>0</v>
      </c>
      <c r="E12" s="72">
        <f>'3'!E10</f>
        <v>0</v>
      </c>
      <c r="F12" s="70">
        <f>'3'!F10</f>
        <v>0</v>
      </c>
      <c r="G12" s="70">
        <f>'3'!G10</f>
        <v>0</v>
      </c>
      <c r="H12" s="65"/>
      <c r="I12" s="65"/>
    </row>
    <row r="13" spans="1:9" ht="40" hidden="1" customHeight="1" outlineLevel="1">
      <c r="A13" s="69" t="str">
        <f>data!$A$8</f>
        <v>Tegev- ja kõrgema juhtkonna ning olulise osalusega eraisikust omanike lähedased pereliikmed ning nende valitseva või olulise mõju all olevad ettevõtjad</v>
      </c>
      <c r="B13" s="70">
        <f>'3'!B11</f>
        <v>0</v>
      </c>
      <c r="C13" s="70">
        <f>'3'!C11</f>
        <v>0</v>
      </c>
      <c r="D13" s="71">
        <f>'3'!D11</f>
        <v>0</v>
      </c>
      <c r="E13" s="72">
        <f>'3'!E11</f>
        <v>0</v>
      </c>
      <c r="F13" s="70">
        <f>'3'!F11</f>
        <v>0</v>
      </c>
      <c r="G13" s="70">
        <f>'3'!G11</f>
        <v>0</v>
      </c>
      <c r="H13" s="65"/>
      <c r="I13" s="65"/>
    </row>
    <row r="14" spans="1:9" ht="17" hidden="1" customHeight="1" outlineLevel="1">
      <c r="A14" s="69" t="str">
        <f>data!$A$9</f>
        <v>Muu seotud osapool</v>
      </c>
      <c r="B14" s="70">
        <f>'3'!B12</f>
        <v>0</v>
      </c>
      <c r="C14" s="70">
        <f>'3'!C12</f>
        <v>0</v>
      </c>
      <c r="D14" s="71">
        <f>'3'!D12</f>
        <v>0</v>
      </c>
      <c r="E14" s="72">
        <f>'3'!E12</f>
        <v>0</v>
      </c>
      <c r="F14" s="70">
        <f>'3'!F12</f>
        <v>0</v>
      </c>
      <c r="G14" s="70">
        <f>'3'!G12</f>
        <v>0</v>
      </c>
      <c r="H14" s="65"/>
      <c r="I14" s="65"/>
    </row>
    <row r="15" spans="1:9" hidden="1" outlineLevel="1">
      <c r="A15" s="65"/>
      <c r="B15" s="73">
        <f t="shared" ref="B15:G15" si="0">SUM(B7:B14)</f>
        <v>0</v>
      </c>
      <c r="C15" s="73">
        <f t="shared" si="0"/>
        <v>0</v>
      </c>
      <c r="D15" s="73">
        <f t="shared" si="0"/>
        <v>0</v>
      </c>
      <c r="E15" s="73">
        <f t="shared" si="0"/>
        <v>0</v>
      </c>
      <c r="F15" s="73">
        <f t="shared" si="0"/>
        <v>0</v>
      </c>
      <c r="G15" s="73">
        <f t="shared" si="0"/>
        <v>0</v>
      </c>
      <c r="H15" s="65"/>
      <c r="I15" s="65"/>
    </row>
    <row r="16" spans="1:9" hidden="1" outlineLevel="1">
      <c r="A16" s="65"/>
      <c r="B16" s="65"/>
      <c r="C16" s="65"/>
      <c r="D16" s="65"/>
      <c r="E16" s="65"/>
      <c r="F16" s="65"/>
      <c r="G16" s="65"/>
      <c r="H16" s="65"/>
      <c r="I16" s="65"/>
    </row>
    <row r="17" spans="1:9" hidden="1" outlineLevel="1">
      <c r="A17" s="65"/>
      <c r="B17" s="65"/>
      <c r="C17" s="65"/>
      <c r="D17" s="65"/>
      <c r="E17" s="65"/>
      <c r="F17" s="65"/>
      <c r="G17" s="65"/>
      <c r="H17" s="65"/>
      <c r="I17" s="65"/>
    </row>
    <row r="18" spans="1:9" ht="19" hidden="1" customHeight="1" outlineLevel="1">
      <c r="A18" s="65"/>
      <c r="B18" s="174" t="s">
        <v>13</v>
      </c>
      <c r="C18" s="142"/>
      <c r="D18" s="142"/>
      <c r="E18" s="149"/>
      <c r="F18" s="173" t="s">
        <v>14</v>
      </c>
      <c r="G18" s="142"/>
      <c r="H18" s="142"/>
      <c r="I18" s="143"/>
    </row>
    <row r="19" spans="1:9" ht="35" hidden="1" customHeight="1" outlineLevel="1">
      <c r="A19" s="65"/>
      <c r="B19" s="66" t="s">
        <v>15</v>
      </c>
      <c r="C19" s="66" t="s">
        <v>16</v>
      </c>
      <c r="D19" s="74">
        <f>'1'!B10</f>
        <v>45291</v>
      </c>
      <c r="E19" s="67" t="s">
        <v>17</v>
      </c>
      <c r="F19" s="68" t="s">
        <v>18</v>
      </c>
      <c r="G19" s="66" t="s">
        <v>19</v>
      </c>
      <c r="H19" s="75">
        <f>'1'!B10</f>
        <v>45291</v>
      </c>
      <c r="I19" s="66" t="s">
        <v>17</v>
      </c>
    </row>
    <row r="20" spans="1:9" ht="17" hidden="1" customHeight="1" outlineLevel="1">
      <c r="A20" s="69" t="str">
        <f>data!$A$2</f>
        <v>Emaettevõtja</v>
      </c>
      <c r="B20" s="76">
        <f>'3'!B18</f>
        <v>0</v>
      </c>
      <c r="C20" s="76">
        <f>'3'!C18</f>
        <v>0</v>
      </c>
      <c r="D20" s="76">
        <f>'3'!D18</f>
        <v>0</v>
      </c>
      <c r="E20" s="77">
        <f>'3'!E18</f>
        <v>0</v>
      </c>
      <c r="F20" s="78">
        <f>'3'!F18</f>
        <v>0</v>
      </c>
      <c r="G20" s="76">
        <f>'3'!G18</f>
        <v>0</v>
      </c>
      <c r="H20" s="76">
        <f>'3'!H18</f>
        <v>0</v>
      </c>
      <c r="I20" s="76">
        <f>'3'!I18</f>
        <v>0</v>
      </c>
    </row>
    <row r="21" spans="1:9" ht="17" hidden="1" customHeight="1" outlineLevel="1">
      <c r="A21" s="69" t="str">
        <f>data!$A$3</f>
        <v>Tütarettevõtjad</v>
      </c>
      <c r="B21" s="76">
        <f>'3'!B19</f>
        <v>0</v>
      </c>
      <c r="C21" s="76">
        <f>'3'!C19</f>
        <v>0</v>
      </c>
      <c r="D21" s="76">
        <f>'3'!D19</f>
        <v>0</v>
      </c>
      <c r="E21" s="77">
        <f>'3'!E19</f>
        <v>0</v>
      </c>
      <c r="F21" s="78">
        <f>'3'!F19</f>
        <v>0</v>
      </c>
      <c r="G21" s="76">
        <f>'3'!G19</f>
        <v>0</v>
      </c>
      <c r="H21" s="76">
        <f>'3'!H19</f>
        <v>0</v>
      </c>
      <c r="I21" s="76">
        <f>'3'!I19</f>
        <v>0</v>
      </c>
    </row>
    <row r="22" spans="1:9" ht="17" hidden="1" customHeight="1" outlineLevel="1">
      <c r="A22" s="69" t="str">
        <f>data!$A$4</f>
        <v>Sidusettevõtjad</v>
      </c>
      <c r="B22" s="76">
        <f>'3'!B20</f>
        <v>0</v>
      </c>
      <c r="C22" s="76">
        <f>'3'!C20</f>
        <v>0</v>
      </c>
      <c r="D22" s="76">
        <f>'3'!D20</f>
        <v>0</v>
      </c>
      <c r="E22" s="77">
        <f>'3'!E20</f>
        <v>0</v>
      </c>
      <c r="F22" s="78">
        <f>'3'!F20</f>
        <v>0</v>
      </c>
      <c r="G22" s="76">
        <f>'3'!G20</f>
        <v>0</v>
      </c>
      <c r="H22" s="76">
        <f>'3'!H20</f>
        <v>0</v>
      </c>
      <c r="I22" s="76">
        <f>'3'!I20</f>
        <v>0</v>
      </c>
    </row>
    <row r="23" spans="1:9" ht="19" hidden="1" customHeight="1" outlineLevel="1">
      <c r="A23" s="69" t="str">
        <f>data!$A$5</f>
        <v>Teised samasse konsolideerimisgruppi kuuluvad ettevõtjad</v>
      </c>
      <c r="B23" s="76">
        <f>'3'!B21</f>
        <v>0</v>
      </c>
      <c r="C23" s="76">
        <f>'3'!C21</f>
        <v>0</v>
      </c>
      <c r="D23" s="76">
        <f>'3'!D21</f>
        <v>0</v>
      </c>
      <c r="E23" s="77">
        <f>'3'!E21</f>
        <v>0</v>
      </c>
      <c r="F23" s="78">
        <f>'3'!F21</f>
        <v>0</v>
      </c>
      <c r="G23" s="76">
        <f>'3'!G21</f>
        <v>0</v>
      </c>
      <c r="H23" s="76">
        <f>'3'!H21</f>
        <v>0</v>
      </c>
      <c r="I23" s="76">
        <f>'3'!I21</f>
        <v>0</v>
      </c>
    </row>
    <row r="24" spans="1:9" ht="34" hidden="1" customHeight="1" outlineLevel="1">
      <c r="A24" s="69" t="str">
        <f>data!$A$6</f>
        <v>Tegev- ja kõrgem juhtkond ning olulise osalusega eraisikutest omanikud ning nende valitseva või olulise mõju all olevad ettevõtjad</v>
      </c>
      <c r="B24" s="76">
        <f>'3'!B22</f>
        <v>0</v>
      </c>
      <c r="C24" s="76">
        <f>'3'!C22</f>
        <v>0</v>
      </c>
      <c r="D24" s="76">
        <f>'3'!D22</f>
        <v>0</v>
      </c>
      <c r="E24" s="77">
        <f>'3'!E22</f>
        <v>0</v>
      </c>
      <c r="F24" s="78">
        <f>'3'!F22</f>
        <v>0</v>
      </c>
      <c r="G24" s="76">
        <f>'3'!G22</f>
        <v>0</v>
      </c>
      <c r="H24" s="76">
        <f>'3'!H22</f>
        <v>0</v>
      </c>
      <c r="I24" s="76">
        <f>'3'!I22</f>
        <v>0</v>
      </c>
    </row>
    <row r="25" spans="1:9" ht="34" hidden="1" customHeight="1" outlineLevel="1">
      <c r="A25" s="69" t="str">
        <f>data!$A$7</f>
        <v>Olulise osalusega juriidilisest isikust omanikud ning nende valitseva või olulise mõju all olevad ettevõtjad</v>
      </c>
      <c r="B25" s="76">
        <f>'3'!B23</f>
        <v>0</v>
      </c>
      <c r="C25" s="76">
        <f>'3'!C23</f>
        <v>0</v>
      </c>
      <c r="D25" s="76">
        <f>'3'!D23</f>
        <v>0</v>
      </c>
      <c r="E25" s="77">
        <f>'3'!E23</f>
        <v>0</v>
      </c>
      <c r="F25" s="78">
        <f>'3'!F23</f>
        <v>0</v>
      </c>
      <c r="G25" s="76">
        <f>'3'!G23</f>
        <v>0</v>
      </c>
      <c r="H25" s="76">
        <f>'3'!H23</f>
        <v>0</v>
      </c>
      <c r="I25" s="76">
        <f>'3'!I23</f>
        <v>0</v>
      </c>
    </row>
    <row r="26" spans="1:9" ht="40" hidden="1" customHeight="1" outlineLevel="1">
      <c r="A26" s="69" t="str">
        <f>data!$A$8</f>
        <v>Tegev- ja kõrgema juhtkonna ning olulise osalusega eraisikust omanike lähedased pereliikmed ning nende valitseva või olulise mõju all olevad ettevõtjad</v>
      </c>
      <c r="B26" s="76">
        <f>'3'!B24</f>
        <v>0</v>
      </c>
      <c r="C26" s="76">
        <f>'3'!C24</f>
        <v>0</v>
      </c>
      <c r="D26" s="76">
        <f>'3'!D24</f>
        <v>0</v>
      </c>
      <c r="E26" s="77">
        <f>'3'!E24</f>
        <v>0</v>
      </c>
      <c r="F26" s="78">
        <f>'3'!F24</f>
        <v>0</v>
      </c>
      <c r="G26" s="76">
        <f>'3'!G24</f>
        <v>0</v>
      </c>
      <c r="H26" s="76">
        <f>'3'!H24</f>
        <v>0</v>
      </c>
      <c r="I26" s="76">
        <f>'3'!I24</f>
        <v>0</v>
      </c>
    </row>
    <row r="27" spans="1:9" ht="17" hidden="1" customHeight="1" outlineLevel="1">
      <c r="A27" s="69" t="str">
        <f>data!$A$9</f>
        <v>Muu seotud osapool</v>
      </c>
      <c r="B27" s="76">
        <f>'3'!B25</f>
        <v>0</v>
      </c>
      <c r="C27" s="76">
        <f>'3'!C25</f>
        <v>0</v>
      </c>
      <c r="D27" s="76">
        <f>'3'!D25</f>
        <v>0</v>
      </c>
      <c r="E27" s="77">
        <f>'3'!E25</f>
        <v>0</v>
      </c>
      <c r="F27" s="78">
        <f>'3'!F25</f>
        <v>0</v>
      </c>
      <c r="G27" s="76">
        <f>'3'!G25</f>
        <v>0</v>
      </c>
      <c r="H27" s="76">
        <f>'3'!H25</f>
        <v>0</v>
      </c>
      <c r="I27" s="76">
        <f>'3'!I25</f>
        <v>0</v>
      </c>
    </row>
    <row r="28" spans="1:9" hidden="1" outlineLevel="1">
      <c r="A28" s="65"/>
      <c r="B28" s="79">
        <f t="shared" ref="B28:I28" si="1">SUM(B20:B27)</f>
        <v>0</v>
      </c>
      <c r="C28" s="79">
        <f t="shared" si="1"/>
        <v>0</v>
      </c>
      <c r="D28" s="79">
        <f t="shared" si="1"/>
        <v>0</v>
      </c>
      <c r="E28" s="79">
        <f t="shared" si="1"/>
        <v>0</v>
      </c>
      <c r="F28" s="79">
        <f t="shared" si="1"/>
        <v>0</v>
      </c>
      <c r="G28" s="79">
        <f t="shared" si="1"/>
        <v>0</v>
      </c>
      <c r="H28" s="79">
        <f t="shared" si="1"/>
        <v>0</v>
      </c>
      <c r="I28" s="79">
        <f t="shared" si="1"/>
        <v>0</v>
      </c>
    </row>
    <row r="29" spans="1:9" hidden="1" outlineLevel="1">
      <c r="A29" s="65"/>
      <c r="B29" s="65"/>
      <c r="C29" s="65"/>
      <c r="D29" s="65"/>
      <c r="E29" s="65"/>
      <c r="F29" s="65"/>
      <c r="G29" s="65"/>
      <c r="H29" s="65"/>
      <c r="I29" s="65"/>
    </row>
    <row r="30" spans="1:9" hidden="1" outlineLevel="1">
      <c r="A30" s="65"/>
      <c r="B30" s="65"/>
      <c r="C30" s="65"/>
      <c r="D30" s="65"/>
      <c r="E30" s="65"/>
      <c r="F30" s="65"/>
      <c r="G30" s="65"/>
      <c r="H30" s="65"/>
      <c r="I30" s="65"/>
    </row>
    <row r="31" spans="1:9" ht="19" hidden="1" customHeight="1" outlineLevel="1">
      <c r="A31" s="65"/>
      <c r="B31" s="172" t="s">
        <v>20</v>
      </c>
      <c r="C31" s="142"/>
      <c r="D31" s="142"/>
      <c r="E31" s="173" t="s">
        <v>21</v>
      </c>
      <c r="F31" s="142"/>
      <c r="G31" s="143"/>
      <c r="H31" s="65"/>
      <c r="I31" s="65"/>
    </row>
    <row r="32" spans="1:9" ht="19" hidden="1" customHeight="1" outlineLevel="1">
      <c r="A32" s="65"/>
      <c r="B32" s="66" t="s">
        <v>22</v>
      </c>
      <c r="C32" s="66" t="s">
        <v>23</v>
      </c>
      <c r="D32" s="67" t="s">
        <v>24</v>
      </c>
      <c r="E32" s="68" t="s">
        <v>22</v>
      </c>
      <c r="F32" s="66" t="s">
        <v>23</v>
      </c>
      <c r="G32" s="66" t="s">
        <v>24</v>
      </c>
      <c r="H32" s="65"/>
      <c r="I32" s="65"/>
    </row>
    <row r="33" spans="1:9" ht="17" hidden="1" customHeight="1" outlineLevel="1">
      <c r="A33" s="69" t="str">
        <f>data!$A$2</f>
        <v>Emaettevõtja</v>
      </c>
      <c r="B33" s="76">
        <f>'3'!B31</f>
        <v>0</v>
      </c>
      <c r="C33" s="76">
        <f>'3'!C31</f>
        <v>0</v>
      </c>
      <c r="D33" s="77">
        <f>'3'!D31</f>
        <v>0</v>
      </c>
      <c r="E33" s="78">
        <f>'3'!E31</f>
        <v>0</v>
      </c>
      <c r="F33" s="76">
        <f>'3'!F31</f>
        <v>0</v>
      </c>
      <c r="G33" s="76">
        <f>'3'!G31</f>
        <v>0</v>
      </c>
      <c r="H33" s="65"/>
      <c r="I33" s="65"/>
    </row>
    <row r="34" spans="1:9" ht="17" hidden="1" customHeight="1" outlineLevel="1">
      <c r="A34" s="69" t="str">
        <f>data!$A$3</f>
        <v>Tütarettevõtjad</v>
      </c>
      <c r="B34" s="76">
        <f>'3'!B32</f>
        <v>0</v>
      </c>
      <c r="C34" s="76">
        <f>'3'!C32</f>
        <v>0</v>
      </c>
      <c r="D34" s="77">
        <f>'3'!D32</f>
        <v>0</v>
      </c>
      <c r="E34" s="78">
        <f>'3'!E32</f>
        <v>0</v>
      </c>
      <c r="F34" s="76">
        <f>'3'!F32</f>
        <v>0</v>
      </c>
      <c r="G34" s="76">
        <f>'3'!G32</f>
        <v>0</v>
      </c>
      <c r="H34" s="65"/>
      <c r="I34" s="65"/>
    </row>
    <row r="35" spans="1:9" ht="17" hidden="1" customHeight="1" outlineLevel="1">
      <c r="A35" s="69" t="str">
        <f>data!$A$4</f>
        <v>Sidusettevõtjad</v>
      </c>
      <c r="B35" s="76">
        <f>'3'!B33</f>
        <v>0</v>
      </c>
      <c r="C35" s="76">
        <f>'3'!C33</f>
        <v>0</v>
      </c>
      <c r="D35" s="77">
        <f>'3'!D33</f>
        <v>0</v>
      </c>
      <c r="E35" s="78">
        <f>'3'!E33</f>
        <v>0</v>
      </c>
      <c r="F35" s="76">
        <f>'3'!F33</f>
        <v>0</v>
      </c>
      <c r="G35" s="76">
        <f>'3'!G33</f>
        <v>0</v>
      </c>
      <c r="H35" s="65"/>
      <c r="I35" s="65"/>
    </row>
    <row r="36" spans="1:9" ht="19" hidden="1" customHeight="1" outlineLevel="1">
      <c r="A36" s="69" t="str">
        <f>data!$A$5</f>
        <v>Teised samasse konsolideerimisgruppi kuuluvad ettevõtjad</v>
      </c>
      <c r="B36" s="76">
        <f>'3'!B34</f>
        <v>0</v>
      </c>
      <c r="C36" s="76">
        <f>'3'!C34</f>
        <v>0</v>
      </c>
      <c r="D36" s="77">
        <f>'3'!D34</f>
        <v>0</v>
      </c>
      <c r="E36" s="78">
        <f>'3'!E34</f>
        <v>0</v>
      </c>
      <c r="F36" s="76">
        <f>'3'!F34</f>
        <v>0</v>
      </c>
      <c r="G36" s="76">
        <f>'3'!G34</f>
        <v>0</v>
      </c>
      <c r="H36" s="65"/>
      <c r="I36" s="65"/>
    </row>
    <row r="37" spans="1:9" ht="51" hidden="1" customHeight="1" outlineLevel="1">
      <c r="A37" s="69" t="str">
        <f>data!$A$6</f>
        <v>Tegev- ja kõrgem juhtkond ning olulise osalusega eraisikutest omanikud ning nende valitseva või olulise mõju all olevad ettevõtjad</v>
      </c>
      <c r="B37" s="76">
        <f>'3'!B35</f>
        <v>0</v>
      </c>
      <c r="C37" s="76">
        <f>'3'!C35</f>
        <v>0</v>
      </c>
      <c r="D37" s="77">
        <f>'3'!D35</f>
        <v>0</v>
      </c>
      <c r="E37" s="78">
        <f>'3'!E35</f>
        <v>0</v>
      </c>
      <c r="F37" s="76">
        <f>'3'!F35</f>
        <v>0</v>
      </c>
      <c r="G37" s="76">
        <f>'3'!G35</f>
        <v>0</v>
      </c>
      <c r="H37" s="65"/>
      <c r="I37" s="65"/>
    </row>
    <row r="38" spans="1:9" ht="34" hidden="1" customHeight="1" outlineLevel="1">
      <c r="A38" s="69" t="str">
        <f>data!$A$7</f>
        <v>Olulise osalusega juriidilisest isikust omanikud ning nende valitseva või olulise mõju all olevad ettevõtjad</v>
      </c>
      <c r="B38" s="76">
        <f>'3'!B36</f>
        <v>0</v>
      </c>
      <c r="C38" s="76">
        <f>'3'!C36</f>
        <v>0</v>
      </c>
      <c r="D38" s="77">
        <f>'3'!D36</f>
        <v>0</v>
      </c>
      <c r="E38" s="78">
        <f>'3'!E36</f>
        <v>0</v>
      </c>
      <c r="F38" s="76">
        <f>'3'!F36</f>
        <v>0</v>
      </c>
      <c r="G38" s="76">
        <f>'3'!G36</f>
        <v>0</v>
      </c>
      <c r="H38" s="65"/>
      <c r="I38" s="65"/>
    </row>
    <row r="39" spans="1:9" ht="40" hidden="1" customHeight="1" outlineLevel="1">
      <c r="A39" s="69" t="str">
        <f>data!$A$8</f>
        <v>Tegev- ja kõrgema juhtkonna ning olulise osalusega eraisikust omanike lähedased pereliikmed ning nende valitseva või olulise mõju all olevad ettevõtjad</v>
      </c>
      <c r="B39" s="76">
        <f>'3'!B37</f>
        <v>0</v>
      </c>
      <c r="C39" s="76">
        <f>'3'!C37</f>
        <v>0</v>
      </c>
      <c r="D39" s="77">
        <f>'3'!D37</f>
        <v>0</v>
      </c>
      <c r="E39" s="78">
        <f>'3'!E37</f>
        <v>0</v>
      </c>
      <c r="F39" s="76">
        <f>'3'!F37</f>
        <v>0</v>
      </c>
      <c r="G39" s="76">
        <f>'3'!G37</f>
        <v>0</v>
      </c>
      <c r="H39" s="65"/>
      <c r="I39" s="65"/>
    </row>
    <row r="40" spans="1:9" ht="17" hidden="1" customHeight="1" outlineLevel="1">
      <c r="A40" s="69" t="str">
        <f>data!$A$9</f>
        <v>Muu seotud osapool</v>
      </c>
      <c r="B40" s="76">
        <f>'3'!B38</f>
        <v>0</v>
      </c>
      <c r="C40" s="76">
        <f>'3'!C38</f>
        <v>0</v>
      </c>
      <c r="D40" s="77">
        <f>'3'!D38</f>
        <v>0</v>
      </c>
      <c r="E40" s="78">
        <f>'3'!E38</f>
        <v>0</v>
      </c>
      <c r="F40" s="76">
        <f>'3'!F38</f>
        <v>0</v>
      </c>
      <c r="G40" s="76">
        <f>'3'!G38</f>
        <v>0</v>
      </c>
      <c r="H40" s="65"/>
      <c r="I40" s="65"/>
    </row>
    <row r="41" spans="1:9" hidden="1" outlineLevel="1">
      <c r="A41" s="65"/>
      <c r="B41" s="79">
        <f t="shared" ref="B41:G41" si="2">SUM(B33:B40)</f>
        <v>0</v>
      </c>
      <c r="C41" s="79">
        <f t="shared" si="2"/>
        <v>0</v>
      </c>
      <c r="D41" s="79">
        <f t="shared" si="2"/>
        <v>0</v>
      </c>
      <c r="E41" s="79">
        <f t="shared" si="2"/>
        <v>0</v>
      </c>
      <c r="F41" s="79">
        <f t="shared" si="2"/>
        <v>0</v>
      </c>
      <c r="G41" s="79">
        <f t="shared" si="2"/>
        <v>0</v>
      </c>
      <c r="H41" s="65"/>
      <c r="I41" s="65"/>
    </row>
    <row r="42" spans="1:9" hidden="1" outlineLevel="1">
      <c r="A42" s="65"/>
      <c r="B42" s="65"/>
      <c r="C42" s="65"/>
      <c r="D42" s="65"/>
      <c r="E42" s="65"/>
      <c r="F42" s="65"/>
      <c r="G42" s="65"/>
      <c r="H42" s="65"/>
      <c r="I42" s="65"/>
    </row>
    <row r="43" spans="1:9" hidden="1" outlineLevel="1">
      <c r="A43" s="65"/>
      <c r="B43" s="65"/>
      <c r="C43" s="65"/>
      <c r="D43" s="65"/>
      <c r="E43" s="65"/>
      <c r="F43" s="65"/>
      <c r="G43" s="65"/>
      <c r="H43" s="65"/>
      <c r="I43" s="65"/>
    </row>
    <row r="44" spans="1:9" ht="38" hidden="1" customHeight="1" outlineLevel="1">
      <c r="A44" s="65"/>
      <c r="B44" s="80" t="s">
        <v>25</v>
      </c>
      <c r="C44" s="81" t="s">
        <v>26</v>
      </c>
      <c r="D44" s="65"/>
      <c r="E44" s="65"/>
      <c r="F44" s="65"/>
      <c r="G44" s="65"/>
      <c r="H44" s="65"/>
      <c r="I44" s="65"/>
    </row>
    <row r="45" spans="1:9" ht="17" hidden="1" customHeight="1" outlineLevel="1">
      <c r="A45" s="69" t="str">
        <f>data!$A$2</f>
        <v>Emaettevõtja</v>
      </c>
      <c r="B45" s="77">
        <f>'3'!B43</f>
        <v>0</v>
      </c>
      <c r="C45" s="78">
        <f>'3'!C43</f>
        <v>0</v>
      </c>
      <c r="D45" s="65"/>
      <c r="E45" s="65"/>
      <c r="F45" s="65"/>
      <c r="G45" s="65"/>
      <c r="H45" s="65"/>
      <c r="I45" s="65"/>
    </row>
    <row r="46" spans="1:9" ht="17" hidden="1" customHeight="1" outlineLevel="1">
      <c r="A46" s="69" t="str">
        <f>data!$A$3</f>
        <v>Tütarettevõtjad</v>
      </c>
      <c r="B46" s="77">
        <f>'3'!B44</f>
        <v>0</v>
      </c>
      <c r="C46" s="78">
        <f>'3'!C44</f>
        <v>0</v>
      </c>
      <c r="D46" s="65"/>
      <c r="E46" s="65"/>
      <c r="F46" s="65"/>
      <c r="G46" s="65"/>
      <c r="H46" s="65"/>
      <c r="I46" s="65"/>
    </row>
    <row r="47" spans="1:9" ht="17" hidden="1" customHeight="1" outlineLevel="1">
      <c r="A47" s="69" t="str">
        <f>data!$A$4</f>
        <v>Sidusettevõtjad</v>
      </c>
      <c r="B47" s="77">
        <f>'3'!B45</f>
        <v>0</v>
      </c>
      <c r="C47" s="78">
        <f>'3'!C45</f>
        <v>0</v>
      </c>
      <c r="D47" s="65"/>
      <c r="E47" s="65"/>
      <c r="F47" s="65"/>
      <c r="G47" s="65"/>
      <c r="H47" s="65"/>
      <c r="I47" s="65"/>
    </row>
    <row r="48" spans="1:9" ht="19" hidden="1" customHeight="1" outlineLevel="1">
      <c r="A48" s="69" t="str">
        <f>data!$A$5</f>
        <v>Teised samasse konsolideerimisgruppi kuuluvad ettevõtjad</v>
      </c>
      <c r="B48" s="77">
        <f>'3'!B46</f>
        <v>0</v>
      </c>
      <c r="C48" s="78">
        <f>'3'!C46</f>
        <v>0</v>
      </c>
      <c r="D48" s="65"/>
      <c r="E48" s="65"/>
      <c r="F48" s="65"/>
      <c r="G48" s="65"/>
      <c r="H48" s="65"/>
      <c r="I48" s="65"/>
    </row>
    <row r="49" spans="1:9" ht="51" hidden="1" customHeight="1" outlineLevel="1">
      <c r="A49" s="69" t="str">
        <f>data!$A$6</f>
        <v>Tegev- ja kõrgem juhtkond ning olulise osalusega eraisikutest omanikud ning nende valitseva või olulise mõju all olevad ettevõtjad</v>
      </c>
      <c r="B49" s="77">
        <f>'3'!B47</f>
        <v>0</v>
      </c>
      <c r="C49" s="78">
        <f>'3'!C47</f>
        <v>0</v>
      </c>
      <c r="D49" s="65"/>
      <c r="E49" s="65"/>
      <c r="F49" s="65"/>
      <c r="G49" s="65"/>
      <c r="H49" s="65"/>
      <c r="I49" s="65"/>
    </row>
    <row r="50" spans="1:9" ht="34" hidden="1" customHeight="1" outlineLevel="1">
      <c r="A50" s="69" t="str">
        <f>data!$A$7</f>
        <v>Olulise osalusega juriidilisest isikust omanikud ning nende valitseva või olulise mõju all olevad ettevõtjad</v>
      </c>
      <c r="B50" s="77">
        <f>'3'!B48</f>
        <v>0</v>
      </c>
      <c r="C50" s="78">
        <f>'3'!C48</f>
        <v>0</v>
      </c>
      <c r="D50" s="65"/>
      <c r="E50" s="65"/>
      <c r="F50" s="65"/>
      <c r="G50" s="65"/>
      <c r="H50" s="65"/>
      <c r="I50" s="65"/>
    </row>
    <row r="51" spans="1:9" ht="40" hidden="1" customHeight="1" outlineLevel="1">
      <c r="A51" s="69" t="str">
        <f>data!$A$8</f>
        <v>Tegev- ja kõrgema juhtkonna ning olulise osalusega eraisikust omanike lähedased pereliikmed ning nende valitseva või olulise mõju all olevad ettevõtjad</v>
      </c>
      <c r="B51" s="77">
        <f>'3'!B49</f>
        <v>0</v>
      </c>
      <c r="C51" s="78">
        <f>'3'!C49</f>
        <v>0</v>
      </c>
      <c r="D51" s="65"/>
      <c r="E51" s="65"/>
      <c r="F51" s="65"/>
      <c r="G51" s="65"/>
      <c r="H51" s="65"/>
      <c r="I51" s="65"/>
    </row>
    <row r="52" spans="1:9" ht="17" hidden="1" customHeight="1" outlineLevel="1">
      <c r="A52" s="69" t="str">
        <f>data!$A$9</f>
        <v>Muu seotud osapool</v>
      </c>
      <c r="B52" s="77">
        <f>'3'!B50</f>
        <v>0</v>
      </c>
      <c r="C52" s="78">
        <f>'3'!C50</f>
        <v>0</v>
      </c>
      <c r="D52" s="65"/>
      <c r="E52" s="65"/>
      <c r="F52" s="65"/>
      <c r="G52" s="65"/>
      <c r="H52" s="65"/>
      <c r="I52" s="65"/>
    </row>
    <row r="53" spans="1:9" hidden="1" outlineLevel="1">
      <c r="A53" s="65"/>
      <c r="B53" s="79">
        <f>SUM(B45:B52)</f>
        <v>0</v>
      </c>
      <c r="C53" s="79">
        <f>SUM(C45:C52)</f>
        <v>0</v>
      </c>
      <c r="D53" s="65"/>
      <c r="E53" s="65"/>
      <c r="F53" s="65"/>
      <c r="G53" s="65"/>
      <c r="H53" s="65"/>
      <c r="I53" s="65"/>
    </row>
    <row r="54" spans="1:9" hidden="1" outlineLevel="1">
      <c r="A54" s="65"/>
      <c r="B54" s="65"/>
      <c r="C54" s="65"/>
      <c r="D54" s="65"/>
      <c r="E54" s="65"/>
      <c r="F54" s="65"/>
      <c r="G54" s="65"/>
      <c r="H54" s="65"/>
      <c r="I54" s="65"/>
    </row>
    <row r="55" spans="1:9" hidden="1" outlineLevel="1">
      <c r="A55" s="65"/>
      <c r="B55" s="65"/>
      <c r="C55" s="65"/>
      <c r="D55" s="65"/>
      <c r="E55" s="65"/>
      <c r="F55" s="65"/>
      <c r="G55" s="65"/>
      <c r="H55" s="65"/>
      <c r="I55" s="65"/>
    </row>
    <row r="56" spans="1:9" hidden="1" outlineLevel="1">
      <c r="A56" s="65"/>
      <c r="B56" s="65"/>
      <c r="C56" s="65"/>
      <c r="D56" s="65"/>
      <c r="E56" s="65"/>
      <c r="F56" s="65"/>
      <c r="G56" s="65"/>
      <c r="H56" s="65"/>
      <c r="I56" s="65"/>
    </row>
    <row r="57" spans="1:9" ht="24" customHeight="1" collapsed="1">
      <c r="A57" s="168" t="str">
        <f>'Juhend-Руководство-Instructions'!B20</f>
        <v>Andmed aastaaruande seotud osapoolte lisast</v>
      </c>
      <c r="B57" s="142"/>
      <c r="C57" s="142"/>
      <c r="D57" s="142"/>
      <c r="E57" s="142"/>
      <c r="F57" s="142"/>
      <c r="G57" s="142"/>
      <c r="H57" s="143"/>
      <c r="I57" s="65"/>
    </row>
    <row r="58" spans="1:9" hidden="1" outlineLevel="1">
      <c r="A58" s="82"/>
      <c r="B58" s="65"/>
      <c r="C58" s="65"/>
      <c r="D58" s="65"/>
      <c r="E58" s="65"/>
      <c r="F58" s="65"/>
      <c r="G58" s="65"/>
      <c r="H58" s="65"/>
      <c r="I58" s="65"/>
    </row>
    <row r="59" spans="1:9" hidden="1" outlineLevel="1">
      <c r="A59" s="82"/>
      <c r="B59" s="65"/>
      <c r="C59" s="65"/>
      <c r="D59" s="65"/>
      <c r="E59" s="65"/>
      <c r="F59" s="65"/>
      <c r="G59" s="65"/>
      <c r="H59" s="65"/>
      <c r="I59" s="65"/>
    </row>
    <row r="60" spans="1:9" ht="19" hidden="1" customHeight="1" outlineLevel="1">
      <c r="A60" s="65"/>
      <c r="B60" s="170" t="s">
        <v>8</v>
      </c>
      <c r="C60" s="152"/>
      <c r="D60" s="155"/>
      <c r="E60" s="171" t="s">
        <v>9</v>
      </c>
      <c r="F60" s="152"/>
      <c r="G60" s="155"/>
      <c r="H60" s="65"/>
      <c r="I60" s="65"/>
    </row>
    <row r="61" spans="1:9" ht="19" hidden="1" customHeight="1" outlineLevel="1">
      <c r="A61" s="65"/>
      <c r="B61" s="66" t="s">
        <v>10</v>
      </c>
      <c r="C61" s="66" t="s">
        <v>11</v>
      </c>
      <c r="D61" s="67" t="s">
        <v>12</v>
      </c>
      <c r="E61" s="68" t="s">
        <v>10</v>
      </c>
      <c r="F61" s="66" t="s">
        <v>11</v>
      </c>
      <c r="G61" s="66" t="s">
        <v>12</v>
      </c>
      <c r="H61" s="65"/>
      <c r="I61" s="65"/>
    </row>
    <row r="62" spans="1:9" ht="17" hidden="1" customHeight="1" outlineLevel="1">
      <c r="A62" s="69" t="str">
        <f>data!$A$2</f>
        <v>Emaettevõtja</v>
      </c>
      <c r="B62" s="70">
        <f>'4'!B5</f>
        <v>0</v>
      </c>
      <c r="C62" s="70">
        <f>'4'!C5</f>
        <v>0</v>
      </c>
      <c r="D62" s="71">
        <f>'4'!D5</f>
        <v>0</v>
      </c>
      <c r="E62" s="72">
        <f>'4'!E5</f>
        <v>0</v>
      </c>
      <c r="F62" s="70">
        <f>'4'!F5</f>
        <v>0</v>
      </c>
      <c r="G62" s="70">
        <f>'4'!G5</f>
        <v>0</v>
      </c>
      <c r="H62" s="65"/>
      <c r="I62" s="65"/>
    </row>
    <row r="63" spans="1:9" ht="17" hidden="1" customHeight="1" outlineLevel="1">
      <c r="A63" s="69" t="str">
        <f>data!$A$3</f>
        <v>Tütarettevõtjad</v>
      </c>
      <c r="B63" s="70">
        <f>'4'!B6</f>
        <v>0</v>
      </c>
      <c r="C63" s="70">
        <f>'4'!C6</f>
        <v>0</v>
      </c>
      <c r="D63" s="71">
        <f>'4'!D6</f>
        <v>0</v>
      </c>
      <c r="E63" s="72">
        <f>'4'!E6</f>
        <v>0</v>
      </c>
      <c r="F63" s="70">
        <f>'4'!F6</f>
        <v>0</v>
      </c>
      <c r="G63" s="70">
        <f>'4'!G6</f>
        <v>0</v>
      </c>
      <c r="H63" s="65"/>
      <c r="I63" s="65"/>
    </row>
    <row r="64" spans="1:9" ht="17" hidden="1" customHeight="1" outlineLevel="1">
      <c r="A64" s="69" t="str">
        <f>data!$A$4</f>
        <v>Sidusettevõtjad</v>
      </c>
      <c r="B64" s="70">
        <f>'4'!B7</f>
        <v>0</v>
      </c>
      <c r="C64" s="70">
        <f>'4'!C7</f>
        <v>0</v>
      </c>
      <c r="D64" s="71">
        <f>'4'!D7</f>
        <v>0</v>
      </c>
      <c r="E64" s="72">
        <f>'4'!E7</f>
        <v>0</v>
      </c>
      <c r="F64" s="70">
        <f>'4'!F7</f>
        <v>0</v>
      </c>
      <c r="G64" s="70">
        <f>'4'!G7</f>
        <v>0</v>
      </c>
      <c r="H64" s="65"/>
      <c r="I64" s="65"/>
    </row>
    <row r="65" spans="1:9" ht="19" hidden="1" customHeight="1" outlineLevel="1">
      <c r="A65" s="69" t="str">
        <f>data!$A$5</f>
        <v>Teised samasse konsolideerimisgruppi kuuluvad ettevõtjad</v>
      </c>
      <c r="B65" s="70">
        <f>'4'!B8</f>
        <v>0</v>
      </c>
      <c r="C65" s="70">
        <f>'4'!C8</f>
        <v>0</v>
      </c>
      <c r="D65" s="71">
        <f>'4'!D8</f>
        <v>0</v>
      </c>
      <c r="E65" s="72">
        <f>'4'!E8</f>
        <v>0</v>
      </c>
      <c r="F65" s="70">
        <f>'4'!F8</f>
        <v>0</v>
      </c>
      <c r="G65" s="70">
        <f>'4'!G8</f>
        <v>0</v>
      </c>
      <c r="H65" s="65"/>
      <c r="I65" s="65"/>
    </row>
    <row r="66" spans="1:9" ht="34" hidden="1" customHeight="1" outlineLevel="1">
      <c r="A66" s="69" t="str">
        <f>data!$A$6</f>
        <v>Tegev- ja kõrgem juhtkond ning olulise osalusega eraisikutest omanikud ning nende valitseva või olulise mõju all olevad ettevõtjad</v>
      </c>
      <c r="B66" s="70">
        <f>'4'!B9</f>
        <v>0</v>
      </c>
      <c r="C66" s="70">
        <f>'4'!C9</f>
        <v>0</v>
      </c>
      <c r="D66" s="71">
        <f>'4'!D9</f>
        <v>0</v>
      </c>
      <c r="E66" s="72">
        <f>'4'!E9</f>
        <v>0</v>
      </c>
      <c r="F66" s="70">
        <f>'4'!F9</f>
        <v>0</v>
      </c>
      <c r="G66" s="70">
        <f>'4'!G9</f>
        <v>0</v>
      </c>
      <c r="H66" s="65"/>
      <c r="I66" s="65"/>
    </row>
    <row r="67" spans="1:9" ht="34" hidden="1" customHeight="1" outlineLevel="1">
      <c r="A67" s="69" t="str">
        <f>data!$A$7</f>
        <v>Olulise osalusega juriidilisest isikust omanikud ning nende valitseva või olulise mõju all olevad ettevõtjad</v>
      </c>
      <c r="B67" s="70">
        <f>'4'!B10</f>
        <v>0</v>
      </c>
      <c r="C67" s="70">
        <f>'4'!C10</f>
        <v>0</v>
      </c>
      <c r="D67" s="71">
        <f>'4'!D10</f>
        <v>0</v>
      </c>
      <c r="E67" s="72">
        <f>'4'!E10</f>
        <v>0</v>
      </c>
      <c r="F67" s="70">
        <f>'4'!F10</f>
        <v>0</v>
      </c>
      <c r="G67" s="70">
        <f>'4'!G10</f>
        <v>0</v>
      </c>
      <c r="H67" s="65"/>
      <c r="I67" s="65"/>
    </row>
    <row r="68" spans="1:9" ht="40" hidden="1" customHeight="1" outlineLevel="1">
      <c r="A68" s="69" t="str">
        <f>data!$A$8</f>
        <v>Tegev- ja kõrgema juhtkonna ning olulise osalusega eraisikust omanike lähedased pereliikmed ning nende valitseva või olulise mõju all olevad ettevõtjad</v>
      </c>
      <c r="B68" s="70">
        <f>'4'!B11</f>
        <v>0</v>
      </c>
      <c r="C68" s="70">
        <f>'4'!C11</f>
        <v>0</v>
      </c>
      <c r="D68" s="71">
        <f>'4'!D11</f>
        <v>0</v>
      </c>
      <c r="E68" s="72">
        <f>'4'!E11</f>
        <v>0</v>
      </c>
      <c r="F68" s="70">
        <f>'4'!F11</f>
        <v>0</v>
      </c>
      <c r="G68" s="70">
        <f>'4'!G11</f>
        <v>0</v>
      </c>
      <c r="H68" s="65"/>
      <c r="I68" s="65"/>
    </row>
    <row r="69" spans="1:9" ht="17" hidden="1" customHeight="1" outlineLevel="1">
      <c r="A69" s="69" t="str">
        <f>data!$A$9</f>
        <v>Muu seotud osapool</v>
      </c>
      <c r="B69" s="70">
        <f>'4'!B12</f>
        <v>0</v>
      </c>
      <c r="C69" s="70">
        <f>'4'!C12</f>
        <v>0</v>
      </c>
      <c r="D69" s="71">
        <f>'4'!D12</f>
        <v>0</v>
      </c>
      <c r="E69" s="72">
        <f>'4'!E12</f>
        <v>0</v>
      </c>
      <c r="F69" s="70">
        <f>'4'!F12</f>
        <v>0</v>
      </c>
      <c r="G69" s="70">
        <f>'4'!G12</f>
        <v>0</v>
      </c>
      <c r="H69" s="65"/>
      <c r="I69" s="65"/>
    </row>
    <row r="70" spans="1:9" hidden="1" outlineLevel="1">
      <c r="A70" s="65"/>
      <c r="B70" s="73">
        <f t="shared" ref="B70:G70" si="3">SUM(B62:B69)</f>
        <v>0</v>
      </c>
      <c r="C70" s="73">
        <f t="shared" si="3"/>
        <v>0</v>
      </c>
      <c r="D70" s="73">
        <f t="shared" si="3"/>
        <v>0</v>
      </c>
      <c r="E70" s="73">
        <f t="shared" si="3"/>
        <v>0</v>
      </c>
      <c r="F70" s="73">
        <f t="shared" si="3"/>
        <v>0</v>
      </c>
      <c r="G70" s="73">
        <f t="shared" si="3"/>
        <v>0</v>
      </c>
      <c r="H70" s="65"/>
      <c r="I70" s="65"/>
    </row>
    <row r="71" spans="1:9" hidden="1" outlineLevel="1">
      <c r="A71" s="65"/>
      <c r="B71" s="65"/>
      <c r="C71" s="65"/>
      <c r="D71" s="65"/>
      <c r="E71" s="65"/>
      <c r="F71" s="65"/>
      <c r="G71" s="65"/>
      <c r="H71" s="65"/>
      <c r="I71" s="65"/>
    </row>
    <row r="72" spans="1:9" hidden="1" outlineLevel="1">
      <c r="A72" s="65"/>
      <c r="B72" s="65"/>
      <c r="C72" s="65"/>
      <c r="D72" s="65"/>
      <c r="E72" s="65"/>
      <c r="F72" s="65"/>
      <c r="G72" s="65"/>
      <c r="H72" s="65"/>
      <c r="I72" s="65"/>
    </row>
    <row r="73" spans="1:9" ht="19" hidden="1" customHeight="1" outlineLevel="1">
      <c r="A73" s="65"/>
      <c r="B73" s="174" t="s">
        <v>13</v>
      </c>
      <c r="C73" s="142"/>
      <c r="D73" s="142"/>
      <c r="E73" s="149"/>
      <c r="F73" s="173" t="s">
        <v>14</v>
      </c>
      <c r="G73" s="142"/>
      <c r="H73" s="142"/>
      <c r="I73" s="143"/>
    </row>
    <row r="74" spans="1:9" ht="35" hidden="1" customHeight="1" outlineLevel="1">
      <c r="A74" s="65"/>
      <c r="B74" s="66" t="s">
        <v>15</v>
      </c>
      <c r="C74" s="66" t="s">
        <v>16</v>
      </c>
      <c r="D74" s="74">
        <f>'1'!B10</f>
        <v>45291</v>
      </c>
      <c r="E74" s="67" t="s">
        <v>17</v>
      </c>
      <c r="F74" s="68" t="s">
        <v>18</v>
      </c>
      <c r="G74" s="66" t="s">
        <v>19</v>
      </c>
      <c r="H74" s="75">
        <f>'1'!B10</f>
        <v>45291</v>
      </c>
      <c r="I74" s="66" t="s">
        <v>17</v>
      </c>
    </row>
    <row r="75" spans="1:9" ht="17" hidden="1" customHeight="1" outlineLevel="1">
      <c r="A75" s="69" t="str">
        <f>data!$A$2</f>
        <v>Emaettevõtja</v>
      </c>
      <c r="B75" s="76">
        <f>'4'!B18</f>
        <v>0</v>
      </c>
      <c r="C75" s="76">
        <f>'4'!C18</f>
        <v>0</v>
      </c>
      <c r="D75" s="76">
        <f>'4'!D18</f>
        <v>0</v>
      </c>
      <c r="E75" s="77">
        <f>'4'!E18</f>
        <v>0</v>
      </c>
      <c r="F75" s="78">
        <f>'4'!F18</f>
        <v>0</v>
      </c>
      <c r="G75" s="76">
        <f>'4'!G18</f>
        <v>0</v>
      </c>
      <c r="H75" s="76">
        <f>'4'!H18</f>
        <v>0</v>
      </c>
      <c r="I75" s="76">
        <f>'4'!I18</f>
        <v>0</v>
      </c>
    </row>
    <row r="76" spans="1:9" ht="17" hidden="1" customHeight="1" outlineLevel="1">
      <c r="A76" s="69" t="str">
        <f>data!$A$3</f>
        <v>Tütarettevõtjad</v>
      </c>
      <c r="B76" s="76">
        <f>'4'!B19</f>
        <v>0</v>
      </c>
      <c r="C76" s="76">
        <f>'4'!C19</f>
        <v>0</v>
      </c>
      <c r="D76" s="76">
        <f>'4'!D19</f>
        <v>0</v>
      </c>
      <c r="E76" s="77">
        <f>'4'!E19</f>
        <v>0</v>
      </c>
      <c r="F76" s="78">
        <f>'4'!F19</f>
        <v>0</v>
      </c>
      <c r="G76" s="76">
        <f>'4'!G19</f>
        <v>0</v>
      </c>
      <c r="H76" s="76">
        <f>'4'!H19</f>
        <v>0</v>
      </c>
      <c r="I76" s="76">
        <f>'4'!I19</f>
        <v>0</v>
      </c>
    </row>
    <row r="77" spans="1:9" ht="17" hidden="1" customHeight="1" outlineLevel="1">
      <c r="A77" s="69" t="str">
        <f>data!$A$4</f>
        <v>Sidusettevõtjad</v>
      </c>
      <c r="B77" s="76">
        <f>'4'!B20</f>
        <v>0</v>
      </c>
      <c r="C77" s="76">
        <f>'4'!C20</f>
        <v>0</v>
      </c>
      <c r="D77" s="76">
        <f>'4'!D20</f>
        <v>0</v>
      </c>
      <c r="E77" s="77">
        <f>'4'!E20</f>
        <v>0</v>
      </c>
      <c r="F77" s="78">
        <f>'4'!F20</f>
        <v>0</v>
      </c>
      <c r="G77" s="76">
        <f>'4'!G20</f>
        <v>0</v>
      </c>
      <c r="H77" s="76">
        <f>'4'!H20</f>
        <v>0</v>
      </c>
      <c r="I77" s="76">
        <f>'4'!I20</f>
        <v>0</v>
      </c>
    </row>
    <row r="78" spans="1:9" ht="19" hidden="1" customHeight="1" outlineLevel="1">
      <c r="A78" s="69" t="str">
        <f>data!$A$5</f>
        <v>Teised samasse konsolideerimisgruppi kuuluvad ettevõtjad</v>
      </c>
      <c r="B78" s="76">
        <f>'4'!B21</f>
        <v>0</v>
      </c>
      <c r="C78" s="76">
        <f>'4'!C21</f>
        <v>0</v>
      </c>
      <c r="D78" s="76">
        <f>'4'!D21</f>
        <v>0</v>
      </c>
      <c r="E78" s="77">
        <f>'4'!E21</f>
        <v>0</v>
      </c>
      <c r="F78" s="78">
        <f>'4'!F21</f>
        <v>0</v>
      </c>
      <c r="G78" s="76">
        <f>'4'!G21</f>
        <v>0</v>
      </c>
      <c r="H78" s="76">
        <f>'4'!H21</f>
        <v>0</v>
      </c>
      <c r="I78" s="76">
        <f>'4'!I21</f>
        <v>0</v>
      </c>
    </row>
    <row r="79" spans="1:9" ht="34" hidden="1" customHeight="1" outlineLevel="1">
      <c r="A79" s="69" t="str">
        <f>data!$A$6</f>
        <v>Tegev- ja kõrgem juhtkond ning olulise osalusega eraisikutest omanikud ning nende valitseva või olulise mõju all olevad ettevõtjad</v>
      </c>
      <c r="B79" s="76">
        <f>'4'!B22</f>
        <v>0</v>
      </c>
      <c r="C79" s="76">
        <f>'4'!C22</f>
        <v>0</v>
      </c>
      <c r="D79" s="76">
        <f>'4'!D22</f>
        <v>0</v>
      </c>
      <c r="E79" s="77">
        <f>'4'!E22</f>
        <v>0</v>
      </c>
      <c r="F79" s="78">
        <f>'4'!F22</f>
        <v>0</v>
      </c>
      <c r="G79" s="76">
        <f>'4'!G22</f>
        <v>0</v>
      </c>
      <c r="H79" s="76">
        <f>'4'!H22</f>
        <v>0</v>
      </c>
      <c r="I79" s="76">
        <f>'4'!I22</f>
        <v>0</v>
      </c>
    </row>
    <row r="80" spans="1:9" ht="34" hidden="1" customHeight="1" outlineLevel="1">
      <c r="A80" s="69" t="str">
        <f>data!$A$7</f>
        <v>Olulise osalusega juriidilisest isikust omanikud ning nende valitseva või olulise mõju all olevad ettevõtjad</v>
      </c>
      <c r="B80" s="76">
        <f>'4'!B23</f>
        <v>0</v>
      </c>
      <c r="C80" s="76">
        <f>'4'!C23</f>
        <v>0</v>
      </c>
      <c r="D80" s="76">
        <f>'4'!D23</f>
        <v>0</v>
      </c>
      <c r="E80" s="77">
        <f>'4'!E23</f>
        <v>0</v>
      </c>
      <c r="F80" s="78">
        <f>'4'!F23</f>
        <v>0</v>
      </c>
      <c r="G80" s="76">
        <f>'4'!G23</f>
        <v>0</v>
      </c>
      <c r="H80" s="76">
        <f>'4'!H23</f>
        <v>0</v>
      </c>
      <c r="I80" s="76">
        <f>'4'!I23</f>
        <v>0</v>
      </c>
    </row>
    <row r="81" spans="1:9" ht="40" hidden="1" customHeight="1" outlineLevel="1">
      <c r="A81" s="69" t="str">
        <f>data!$A$8</f>
        <v>Tegev- ja kõrgema juhtkonna ning olulise osalusega eraisikust omanike lähedased pereliikmed ning nende valitseva või olulise mõju all olevad ettevõtjad</v>
      </c>
      <c r="B81" s="76">
        <f>'4'!B24</f>
        <v>0</v>
      </c>
      <c r="C81" s="76">
        <f>'4'!C24</f>
        <v>0</v>
      </c>
      <c r="D81" s="76">
        <f>'4'!D24</f>
        <v>0</v>
      </c>
      <c r="E81" s="77">
        <f>'4'!E24</f>
        <v>0</v>
      </c>
      <c r="F81" s="78">
        <f>'4'!F24</f>
        <v>0</v>
      </c>
      <c r="G81" s="76">
        <f>'4'!G24</f>
        <v>0</v>
      </c>
      <c r="H81" s="76">
        <f>'4'!H24</f>
        <v>0</v>
      </c>
      <c r="I81" s="76">
        <f>'4'!I24</f>
        <v>0</v>
      </c>
    </row>
    <row r="82" spans="1:9" ht="17" hidden="1" customHeight="1" outlineLevel="1">
      <c r="A82" s="69" t="str">
        <f>data!$A$9</f>
        <v>Muu seotud osapool</v>
      </c>
      <c r="B82" s="76">
        <f>'4'!B25</f>
        <v>0</v>
      </c>
      <c r="C82" s="76">
        <f>'4'!C25</f>
        <v>0</v>
      </c>
      <c r="D82" s="76">
        <f>'4'!D25</f>
        <v>0</v>
      </c>
      <c r="E82" s="77">
        <f>'4'!E25</f>
        <v>0</v>
      </c>
      <c r="F82" s="78">
        <f>'4'!F25</f>
        <v>0</v>
      </c>
      <c r="G82" s="76">
        <f>'4'!G25</f>
        <v>0</v>
      </c>
      <c r="H82" s="76">
        <f>'4'!H25</f>
        <v>0</v>
      </c>
      <c r="I82" s="76">
        <f>'4'!I25</f>
        <v>0</v>
      </c>
    </row>
    <row r="83" spans="1:9" hidden="1" outlineLevel="1">
      <c r="A83" s="65"/>
      <c r="B83" s="79">
        <f t="shared" ref="B83:I83" si="4">SUM(B75:B82)</f>
        <v>0</v>
      </c>
      <c r="C83" s="79">
        <f t="shared" si="4"/>
        <v>0</v>
      </c>
      <c r="D83" s="79">
        <f t="shared" si="4"/>
        <v>0</v>
      </c>
      <c r="E83" s="79">
        <f t="shared" si="4"/>
        <v>0</v>
      </c>
      <c r="F83" s="79">
        <f t="shared" si="4"/>
        <v>0</v>
      </c>
      <c r="G83" s="79">
        <f t="shared" si="4"/>
        <v>0</v>
      </c>
      <c r="H83" s="79">
        <f t="shared" si="4"/>
        <v>0</v>
      </c>
      <c r="I83" s="79">
        <f t="shared" si="4"/>
        <v>0</v>
      </c>
    </row>
    <row r="84" spans="1:9" hidden="1" outlineLevel="1">
      <c r="A84" s="65"/>
      <c r="B84" s="65"/>
      <c r="C84" s="65"/>
      <c r="D84" s="65"/>
      <c r="E84" s="65"/>
      <c r="F84" s="65"/>
      <c r="G84" s="65"/>
      <c r="H84" s="65"/>
      <c r="I84" s="65"/>
    </row>
    <row r="85" spans="1:9" hidden="1" outlineLevel="1">
      <c r="A85" s="65"/>
      <c r="B85" s="65"/>
      <c r="C85" s="65"/>
      <c r="D85" s="65"/>
      <c r="E85" s="65"/>
      <c r="F85" s="65"/>
      <c r="G85" s="65"/>
      <c r="H85" s="65"/>
      <c r="I85" s="65"/>
    </row>
    <row r="86" spans="1:9" ht="19" hidden="1" customHeight="1" outlineLevel="1">
      <c r="A86" s="65"/>
      <c r="B86" s="172" t="s">
        <v>20</v>
      </c>
      <c r="C86" s="142"/>
      <c r="D86" s="142"/>
      <c r="E86" s="173" t="s">
        <v>21</v>
      </c>
      <c r="F86" s="142"/>
      <c r="G86" s="143"/>
      <c r="H86" s="65"/>
      <c r="I86" s="65"/>
    </row>
    <row r="87" spans="1:9" ht="17" hidden="1" customHeight="1" outlineLevel="1">
      <c r="A87" s="65"/>
      <c r="B87" s="66" t="s">
        <v>22</v>
      </c>
      <c r="C87" s="66" t="s">
        <v>23</v>
      </c>
      <c r="D87" s="67" t="s">
        <v>24</v>
      </c>
      <c r="E87" s="68" t="s">
        <v>22</v>
      </c>
      <c r="F87" s="66" t="s">
        <v>23</v>
      </c>
      <c r="G87" s="66" t="s">
        <v>24</v>
      </c>
      <c r="H87" s="65"/>
      <c r="I87" s="65"/>
    </row>
    <row r="88" spans="1:9" ht="17" hidden="1" customHeight="1" outlineLevel="1">
      <c r="A88" s="69" t="str">
        <f>data!$A$2</f>
        <v>Emaettevõtja</v>
      </c>
      <c r="B88" s="76">
        <f>'4'!B31</f>
        <v>0</v>
      </c>
      <c r="C88" s="76">
        <f>'4'!C31</f>
        <v>0</v>
      </c>
      <c r="D88" s="77">
        <f>'4'!D31</f>
        <v>0</v>
      </c>
      <c r="E88" s="78">
        <f>'4'!E31</f>
        <v>0</v>
      </c>
      <c r="F88" s="76">
        <f>'4'!F31</f>
        <v>0</v>
      </c>
      <c r="G88" s="76">
        <f>'4'!G31</f>
        <v>0</v>
      </c>
      <c r="H88" s="65"/>
      <c r="I88" s="65"/>
    </row>
    <row r="89" spans="1:9" ht="17" hidden="1" customHeight="1" outlineLevel="1">
      <c r="A89" s="69" t="str">
        <f>data!$A$3</f>
        <v>Tütarettevõtjad</v>
      </c>
      <c r="B89" s="76">
        <f>'4'!B32</f>
        <v>0</v>
      </c>
      <c r="C89" s="76">
        <f>'4'!C32</f>
        <v>0</v>
      </c>
      <c r="D89" s="77">
        <f>'4'!D32</f>
        <v>0</v>
      </c>
      <c r="E89" s="78">
        <f>'4'!E32</f>
        <v>0</v>
      </c>
      <c r="F89" s="76">
        <f>'4'!F32</f>
        <v>0</v>
      </c>
      <c r="G89" s="76">
        <f>'4'!G32</f>
        <v>0</v>
      </c>
      <c r="H89" s="65"/>
      <c r="I89" s="65"/>
    </row>
    <row r="90" spans="1:9" ht="17" hidden="1" customHeight="1" outlineLevel="1">
      <c r="A90" s="69" t="str">
        <f>data!$A$4</f>
        <v>Sidusettevõtjad</v>
      </c>
      <c r="B90" s="76">
        <f>'4'!B33</f>
        <v>0</v>
      </c>
      <c r="C90" s="76">
        <f>'4'!C33</f>
        <v>0</v>
      </c>
      <c r="D90" s="77">
        <f>'4'!D33</f>
        <v>0</v>
      </c>
      <c r="E90" s="78">
        <f>'4'!E33</f>
        <v>0</v>
      </c>
      <c r="F90" s="76">
        <f>'4'!F33</f>
        <v>0</v>
      </c>
      <c r="G90" s="76">
        <f>'4'!G33</f>
        <v>0</v>
      </c>
      <c r="H90" s="65"/>
      <c r="I90" s="65"/>
    </row>
    <row r="91" spans="1:9" ht="19" hidden="1" customHeight="1" outlineLevel="1">
      <c r="A91" s="69" t="str">
        <f>data!$A$5</f>
        <v>Teised samasse konsolideerimisgruppi kuuluvad ettevõtjad</v>
      </c>
      <c r="B91" s="76">
        <f>'4'!B34</f>
        <v>0</v>
      </c>
      <c r="C91" s="76">
        <f>'4'!C34</f>
        <v>0</v>
      </c>
      <c r="D91" s="77">
        <f>'4'!D34</f>
        <v>0</v>
      </c>
      <c r="E91" s="78">
        <f>'4'!E34</f>
        <v>0</v>
      </c>
      <c r="F91" s="76">
        <f>'4'!F34</f>
        <v>0</v>
      </c>
      <c r="G91" s="76">
        <f>'4'!G34</f>
        <v>0</v>
      </c>
      <c r="H91" s="65"/>
      <c r="I91" s="65"/>
    </row>
    <row r="92" spans="1:9" ht="51" hidden="1" customHeight="1" outlineLevel="1">
      <c r="A92" s="69" t="str">
        <f>data!$A$6</f>
        <v>Tegev- ja kõrgem juhtkond ning olulise osalusega eraisikutest omanikud ning nende valitseva või olulise mõju all olevad ettevõtjad</v>
      </c>
      <c r="B92" s="76">
        <f>'4'!B35</f>
        <v>0</v>
      </c>
      <c r="C92" s="76">
        <f>'4'!C35</f>
        <v>0</v>
      </c>
      <c r="D92" s="77">
        <f>'4'!D35</f>
        <v>0</v>
      </c>
      <c r="E92" s="78">
        <f>'4'!E35</f>
        <v>0</v>
      </c>
      <c r="F92" s="76">
        <f>'4'!F35</f>
        <v>0</v>
      </c>
      <c r="G92" s="76">
        <f>'4'!G35</f>
        <v>0</v>
      </c>
      <c r="H92" s="65"/>
      <c r="I92" s="65"/>
    </row>
    <row r="93" spans="1:9" ht="34" hidden="1" customHeight="1" outlineLevel="1">
      <c r="A93" s="69" t="str">
        <f>data!$A$7</f>
        <v>Olulise osalusega juriidilisest isikust omanikud ning nende valitseva või olulise mõju all olevad ettevõtjad</v>
      </c>
      <c r="B93" s="76">
        <f>'4'!B36</f>
        <v>0</v>
      </c>
      <c r="C93" s="76">
        <f>'4'!C36</f>
        <v>0</v>
      </c>
      <c r="D93" s="77">
        <f>'4'!D36</f>
        <v>0</v>
      </c>
      <c r="E93" s="78">
        <f>'4'!E36</f>
        <v>0</v>
      </c>
      <c r="F93" s="76">
        <f>'4'!F36</f>
        <v>0</v>
      </c>
      <c r="G93" s="76">
        <f>'4'!G36</f>
        <v>0</v>
      </c>
      <c r="H93" s="65"/>
      <c r="I93" s="65"/>
    </row>
    <row r="94" spans="1:9" ht="40" hidden="1" customHeight="1" outlineLevel="1">
      <c r="A94" s="69" t="str">
        <f>data!$A$8</f>
        <v>Tegev- ja kõrgema juhtkonna ning olulise osalusega eraisikust omanike lähedased pereliikmed ning nende valitseva või olulise mõju all olevad ettevõtjad</v>
      </c>
      <c r="B94" s="76">
        <f>'4'!B37</f>
        <v>0</v>
      </c>
      <c r="C94" s="76">
        <f>'4'!C37</f>
        <v>0</v>
      </c>
      <c r="D94" s="77">
        <f>'4'!D37</f>
        <v>0</v>
      </c>
      <c r="E94" s="78">
        <f>'4'!E37</f>
        <v>0</v>
      </c>
      <c r="F94" s="76">
        <f>'4'!F37</f>
        <v>0</v>
      </c>
      <c r="G94" s="76">
        <f>'4'!G37</f>
        <v>0</v>
      </c>
      <c r="H94" s="65"/>
      <c r="I94" s="65"/>
    </row>
    <row r="95" spans="1:9" ht="17" hidden="1" customHeight="1" outlineLevel="1">
      <c r="A95" s="69" t="str">
        <f>data!$A$9</f>
        <v>Muu seotud osapool</v>
      </c>
      <c r="B95" s="76">
        <f>'4'!B38</f>
        <v>0</v>
      </c>
      <c r="C95" s="76">
        <f>'4'!C38</f>
        <v>0</v>
      </c>
      <c r="D95" s="77">
        <f>'4'!D38</f>
        <v>0</v>
      </c>
      <c r="E95" s="78">
        <f>'4'!E38</f>
        <v>0</v>
      </c>
      <c r="F95" s="76">
        <f>'4'!F38</f>
        <v>0</v>
      </c>
      <c r="G95" s="76">
        <f>'4'!G38</f>
        <v>0</v>
      </c>
      <c r="H95" s="65"/>
      <c r="I95" s="65"/>
    </row>
    <row r="96" spans="1:9" hidden="1" outlineLevel="1">
      <c r="A96" s="65"/>
      <c r="B96" s="79">
        <f t="shared" ref="B96:G96" si="5">SUM(B88:B95)</f>
        <v>0</v>
      </c>
      <c r="C96" s="79">
        <f t="shared" si="5"/>
        <v>0</v>
      </c>
      <c r="D96" s="79">
        <f t="shared" si="5"/>
        <v>0</v>
      </c>
      <c r="E96" s="79">
        <f t="shared" si="5"/>
        <v>0</v>
      </c>
      <c r="F96" s="79">
        <f t="shared" si="5"/>
        <v>0</v>
      </c>
      <c r="G96" s="79">
        <f t="shared" si="5"/>
        <v>0</v>
      </c>
      <c r="H96" s="65"/>
      <c r="I96" s="65"/>
    </row>
    <row r="97" spans="1:9" hidden="1" outlineLevel="1">
      <c r="A97" s="65"/>
      <c r="B97" s="65"/>
      <c r="C97" s="65"/>
      <c r="D97" s="65"/>
      <c r="E97" s="65"/>
      <c r="F97" s="65"/>
      <c r="G97" s="65"/>
      <c r="H97" s="65"/>
      <c r="I97" s="65"/>
    </row>
    <row r="98" spans="1:9" hidden="1" outlineLevel="1">
      <c r="A98" s="65"/>
      <c r="B98" s="65"/>
      <c r="C98" s="65"/>
      <c r="D98" s="65"/>
      <c r="E98" s="65"/>
      <c r="F98" s="65"/>
      <c r="G98" s="65"/>
      <c r="H98" s="65"/>
      <c r="I98" s="65"/>
    </row>
    <row r="99" spans="1:9" ht="37" hidden="1" customHeight="1" outlineLevel="1">
      <c r="A99" s="65"/>
      <c r="B99" s="80" t="s">
        <v>25</v>
      </c>
      <c r="C99" s="81" t="s">
        <v>26</v>
      </c>
      <c r="D99" s="65"/>
      <c r="E99" s="65"/>
      <c r="F99" s="65"/>
      <c r="G99" s="65"/>
      <c r="H99" s="65"/>
      <c r="I99" s="65"/>
    </row>
    <row r="100" spans="1:9" ht="17" hidden="1" customHeight="1" outlineLevel="1">
      <c r="A100" s="69" t="str">
        <f>data!$A$2</f>
        <v>Emaettevõtja</v>
      </c>
      <c r="B100" s="77">
        <f>'4'!B43</f>
        <v>0</v>
      </c>
      <c r="C100" s="78">
        <f>'4'!C43</f>
        <v>0</v>
      </c>
      <c r="D100" s="65"/>
      <c r="E100" s="65"/>
      <c r="F100" s="65"/>
      <c r="G100" s="65"/>
      <c r="H100" s="65"/>
      <c r="I100" s="65"/>
    </row>
    <row r="101" spans="1:9" ht="17" hidden="1" customHeight="1" outlineLevel="1">
      <c r="A101" s="69" t="str">
        <f>data!$A$3</f>
        <v>Tütarettevõtjad</v>
      </c>
      <c r="B101" s="77">
        <f>'4'!B44</f>
        <v>0</v>
      </c>
      <c r="C101" s="78">
        <f>'4'!C44</f>
        <v>0</v>
      </c>
      <c r="D101" s="65"/>
      <c r="E101" s="65"/>
      <c r="F101" s="65"/>
      <c r="G101" s="65"/>
      <c r="H101" s="65"/>
      <c r="I101" s="65"/>
    </row>
    <row r="102" spans="1:9" ht="17" hidden="1" customHeight="1" outlineLevel="1">
      <c r="A102" s="69" t="str">
        <f>data!$A$4</f>
        <v>Sidusettevõtjad</v>
      </c>
      <c r="B102" s="77">
        <f>'4'!B45</f>
        <v>0</v>
      </c>
      <c r="C102" s="78">
        <f>'4'!C45</f>
        <v>0</v>
      </c>
      <c r="D102" s="65"/>
      <c r="E102" s="65"/>
      <c r="F102" s="65"/>
      <c r="G102" s="65"/>
      <c r="H102" s="65"/>
      <c r="I102" s="65"/>
    </row>
    <row r="103" spans="1:9" ht="19" hidden="1" customHeight="1" outlineLevel="1">
      <c r="A103" s="69" t="str">
        <f>data!$A$5</f>
        <v>Teised samasse konsolideerimisgruppi kuuluvad ettevõtjad</v>
      </c>
      <c r="B103" s="77">
        <f>'4'!B46</f>
        <v>0</v>
      </c>
      <c r="C103" s="78">
        <f>'4'!C46</f>
        <v>0</v>
      </c>
      <c r="D103" s="65"/>
      <c r="E103" s="65"/>
      <c r="F103" s="65"/>
      <c r="G103" s="65"/>
      <c r="H103" s="65"/>
      <c r="I103" s="65"/>
    </row>
    <row r="104" spans="1:9" ht="51" hidden="1" customHeight="1" outlineLevel="1">
      <c r="A104" s="69" t="str">
        <f>data!$A$6</f>
        <v>Tegev- ja kõrgem juhtkond ning olulise osalusega eraisikutest omanikud ning nende valitseva või olulise mõju all olevad ettevõtjad</v>
      </c>
      <c r="B104" s="77">
        <f>'4'!B47</f>
        <v>0</v>
      </c>
      <c r="C104" s="78">
        <f>'4'!C47</f>
        <v>0</v>
      </c>
      <c r="D104" s="65"/>
      <c r="E104" s="65"/>
      <c r="F104" s="65"/>
      <c r="G104" s="65"/>
      <c r="H104" s="65"/>
      <c r="I104" s="65"/>
    </row>
    <row r="105" spans="1:9" ht="34" hidden="1" customHeight="1" outlineLevel="1">
      <c r="A105" s="69" t="str">
        <f>data!$A$7</f>
        <v>Olulise osalusega juriidilisest isikust omanikud ning nende valitseva või olulise mõju all olevad ettevõtjad</v>
      </c>
      <c r="B105" s="77">
        <f>'4'!B48</f>
        <v>0</v>
      </c>
      <c r="C105" s="78">
        <f>'4'!C48</f>
        <v>0</v>
      </c>
      <c r="D105" s="65"/>
      <c r="E105" s="65"/>
      <c r="F105" s="65"/>
      <c r="G105" s="65"/>
      <c r="H105" s="65"/>
      <c r="I105" s="65"/>
    </row>
    <row r="106" spans="1:9" ht="40" hidden="1" customHeight="1" outlineLevel="1">
      <c r="A106" s="69" t="str">
        <f>data!$A$8</f>
        <v>Tegev- ja kõrgema juhtkonna ning olulise osalusega eraisikust omanike lähedased pereliikmed ning nende valitseva või olulise mõju all olevad ettevõtjad</v>
      </c>
      <c r="B106" s="77">
        <f>'4'!B49</f>
        <v>0</v>
      </c>
      <c r="C106" s="78">
        <f>'4'!C49</f>
        <v>0</v>
      </c>
      <c r="D106" s="65"/>
      <c r="E106" s="65"/>
      <c r="F106" s="65"/>
      <c r="G106" s="65"/>
      <c r="H106" s="65"/>
      <c r="I106" s="65"/>
    </row>
    <row r="107" spans="1:9" ht="17" hidden="1" customHeight="1" outlineLevel="1">
      <c r="A107" s="69" t="str">
        <f>data!$A$9</f>
        <v>Muu seotud osapool</v>
      </c>
      <c r="B107" s="77">
        <f>'4'!B50</f>
        <v>0</v>
      </c>
      <c r="C107" s="78">
        <f>'4'!C50</f>
        <v>0</v>
      </c>
      <c r="D107" s="65"/>
      <c r="E107" s="65"/>
      <c r="F107" s="65"/>
      <c r="G107" s="65"/>
      <c r="H107" s="65"/>
      <c r="I107" s="65"/>
    </row>
    <row r="108" spans="1:9" hidden="1" outlineLevel="1">
      <c r="A108" s="65"/>
      <c r="B108" s="79">
        <f>SUM(B100:B107)</f>
        <v>0</v>
      </c>
      <c r="C108" s="79">
        <f>SUM(C100:C107)</f>
        <v>0</v>
      </c>
      <c r="D108" s="65"/>
      <c r="E108" s="65"/>
      <c r="F108" s="65"/>
      <c r="G108" s="65"/>
      <c r="H108" s="65"/>
      <c r="I108" s="65"/>
    </row>
    <row r="109" spans="1:9" hidden="1" outlineLevel="1">
      <c r="A109" s="65"/>
      <c r="B109" s="65"/>
      <c r="C109" s="65"/>
      <c r="D109" s="65"/>
      <c r="E109" s="65"/>
      <c r="F109" s="65"/>
      <c r="G109" s="65"/>
      <c r="H109" s="65"/>
      <c r="I109" s="65"/>
    </row>
    <row r="110" spans="1:9" hidden="1" outlineLevel="1">
      <c r="A110" s="65"/>
      <c r="B110" s="65"/>
      <c r="C110" s="65"/>
      <c r="D110" s="65"/>
      <c r="E110" s="65"/>
      <c r="F110" s="65"/>
      <c r="G110" s="65"/>
      <c r="H110" s="65"/>
      <c r="I110" s="65"/>
    </row>
    <row r="111" spans="1:9" hidden="1" outlineLevel="1">
      <c r="A111" s="65"/>
      <c r="B111" s="65"/>
      <c r="C111" s="65"/>
      <c r="D111" s="65"/>
      <c r="E111" s="65"/>
      <c r="F111" s="65"/>
      <c r="G111" s="65"/>
      <c r="H111" s="65"/>
      <c r="I111" s="65"/>
    </row>
    <row r="112" spans="1:9" ht="24" customHeight="1" collapsed="1">
      <c r="A112" s="169" t="str">
        <f>IF(Language="Eesti keel", "VÕRDLUS (kui punast värvi lahtreid ei ole, siis olulised erinevused puuduvad)",IF(Language="Русский язык", "СРАВНЕНИЕ (красным выделено расхождение в данных)","RECONCILIATION (if no red cells, then no material differences)"))</f>
        <v>VÕRDLUS (kui punast värvi lahtreid ei ole, siis olulised erinevused puuduvad)</v>
      </c>
      <c r="B112" s="142"/>
      <c r="C112" s="142"/>
      <c r="D112" s="142"/>
      <c r="E112" s="142"/>
      <c r="F112" s="142"/>
      <c r="G112" s="142"/>
      <c r="H112" s="143"/>
      <c r="I112" s="65"/>
    </row>
    <row r="113" spans="1:9" outlineLevel="1">
      <c r="A113" s="83" t="str">
        <f>IF(Language="Eesti keel", "Juhend",IF(Language="Русский язык", "Руководство","Instructions"))</f>
        <v>Juhend</v>
      </c>
    </row>
    <row r="114" spans="1:9" outlineLevel="1"/>
    <row r="115" spans="1:9" ht="19" customHeight="1" outlineLevel="1">
      <c r="B115" s="156" t="str">
        <f>'2.1'!C4</f>
        <v>LÜHIAJALISED</v>
      </c>
      <c r="C115" s="152"/>
      <c r="D115" s="155"/>
      <c r="E115" s="157" t="str">
        <f>'2.1'!I4</f>
        <v>PIKAAJALISED</v>
      </c>
      <c r="F115" s="152"/>
      <c r="G115" s="155"/>
    </row>
    <row r="116" spans="1:9" ht="72" customHeight="1" outlineLevel="1">
      <c r="B116" s="7" t="str">
        <f>'2.1'!C5</f>
        <v>Nõuded ja ettemaksed</v>
      </c>
      <c r="C116" s="7" t="str">
        <f>'2.1'!F5</f>
        <v>Laenukohustised</v>
      </c>
      <c r="D116" s="58" t="str">
        <f>'2.1'!G5</f>
        <v>Võlad ja ettemaksed</v>
      </c>
      <c r="E116" s="17" t="str">
        <f>B116</f>
        <v>Nõuded ja ettemaksed</v>
      </c>
      <c r="F116" s="7" t="str">
        <f>C116</f>
        <v>Laenukohustised</v>
      </c>
      <c r="G116" s="50" t="str">
        <f>D116</f>
        <v>Võlad ja ettemaksed</v>
      </c>
    </row>
    <row r="117" spans="1:9" ht="17" customHeight="1" outlineLevel="1">
      <c r="A117" s="12" t="str">
        <f>data!$A$2</f>
        <v>Emaettevõtja</v>
      </c>
      <c r="B117" s="24">
        <f t="shared" ref="B117:G124" si="6">B62-B7</f>
        <v>0</v>
      </c>
      <c r="C117" s="24">
        <f t="shared" si="6"/>
        <v>0</v>
      </c>
      <c r="D117" s="25">
        <f t="shared" si="6"/>
        <v>0</v>
      </c>
      <c r="E117" s="26">
        <f t="shared" si="6"/>
        <v>0</v>
      </c>
      <c r="F117" s="24">
        <f t="shared" si="6"/>
        <v>0</v>
      </c>
      <c r="G117" s="24">
        <f t="shared" si="6"/>
        <v>0</v>
      </c>
    </row>
    <row r="118" spans="1:9" ht="17" customHeight="1" outlineLevel="1">
      <c r="A118" s="12" t="str">
        <f>data!$A$3</f>
        <v>Tütarettevõtjad</v>
      </c>
      <c r="B118" s="24">
        <f t="shared" si="6"/>
        <v>0</v>
      </c>
      <c r="C118" s="24">
        <f t="shared" si="6"/>
        <v>0</v>
      </c>
      <c r="D118" s="25">
        <f t="shared" si="6"/>
        <v>0</v>
      </c>
      <c r="E118" s="26">
        <f t="shared" si="6"/>
        <v>0</v>
      </c>
      <c r="F118" s="24">
        <f t="shared" si="6"/>
        <v>0</v>
      </c>
      <c r="G118" s="24">
        <f t="shared" si="6"/>
        <v>0</v>
      </c>
    </row>
    <row r="119" spans="1:9" ht="17" customHeight="1" outlineLevel="1">
      <c r="A119" s="12" t="str">
        <f>data!$A$4</f>
        <v>Sidusettevõtjad</v>
      </c>
      <c r="B119" s="24">
        <f t="shared" si="6"/>
        <v>0</v>
      </c>
      <c r="C119" s="24">
        <f t="shared" si="6"/>
        <v>0</v>
      </c>
      <c r="D119" s="25">
        <f t="shared" si="6"/>
        <v>0</v>
      </c>
      <c r="E119" s="26">
        <f t="shared" si="6"/>
        <v>0</v>
      </c>
      <c r="F119" s="24">
        <f t="shared" si="6"/>
        <v>0</v>
      </c>
      <c r="G119" s="24">
        <f t="shared" si="6"/>
        <v>0</v>
      </c>
    </row>
    <row r="120" spans="1:9" ht="19" customHeight="1" outlineLevel="1">
      <c r="A120" s="12" t="str">
        <f>data!$A$5</f>
        <v>Teised samasse konsolideerimisgruppi kuuluvad ettevõtjad</v>
      </c>
      <c r="B120" s="24">
        <f t="shared" si="6"/>
        <v>0</v>
      </c>
      <c r="C120" s="24">
        <f t="shared" si="6"/>
        <v>0</v>
      </c>
      <c r="D120" s="25">
        <f t="shared" si="6"/>
        <v>0</v>
      </c>
      <c r="E120" s="26">
        <f t="shared" si="6"/>
        <v>0</v>
      </c>
      <c r="F120" s="24">
        <f t="shared" si="6"/>
        <v>0</v>
      </c>
      <c r="G120" s="24">
        <f t="shared" si="6"/>
        <v>0</v>
      </c>
    </row>
    <row r="121" spans="1:9" ht="34" customHeight="1" outlineLevel="1">
      <c r="A121" s="12" t="str">
        <f>data!$A$6</f>
        <v>Tegev- ja kõrgem juhtkond ning olulise osalusega eraisikutest omanikud ning nende valitseva või olulise mõju all olevad ettevõtjad</v>
      </c>
      <c r="B121" s="24">
        <f t="shared" si="6"/>
        <v>0</v>
      </c>
      <c r="C121" s="24">
        <f t="shared" si="6"/>
        <v>0</v>
      </c>
      <c r="D121" s="25">
        <f t="shared" si="6"/>
        <v>0</v>
      </c>
      <c r="E121" s="26">
        <f t="shared" si="6"/>
        <v>0</v>
      </c>
      <c r="F121" s="24">
        <f t="shared" si="6"/>
        <v>0</v>
      </c>
      <c r="G121" s="24">
        <f t="shared" si="6"/>
        <v>0</v>
      </c>
    </row>
    <row r="122" spans="1:9" ht="34" customHeight="1" outlineLevel="1">
      <c r="A122" s="12" t="str">
        <f>data!$A$7</f>
        <v>Olulise osalusega juriidilisest isikust omanikud ning nende valitseva või olulise mõju all olevad ettevõtjad</v>
      </c>
      <c r="B122" s="24">
        <f t="shared" si="6"/>
        <v>0</v>
      </c>
      <c r="C122" s="24">
        <f t="shared" si="6"/>
        <v>0</v>
      </c>
      <c r="D122" s="25">
        <f t="shared" si="6"/>
        <v>0</v>
      </c>
      <c r="E122" s="26">
        <f t="shared" si="6"/>
        <v>0</v>
      </c>
      <c r="F122" s="24">
        <f t="shared" si="6"/>
        <v>0</v>
      </c>
      <c r="G122" s="24">
        <f t="shared" si="6"/>
        <v>0</v>
      </c>
    </row>
    <row r="123" spans="1:9" ht="40" customHeight="1" outlineLevel="1">
      <c r="A123" s="12" t="str">
        <f>data!$A$8</f>
        <v>Tegev- ja kõrgema juhtkonna ning olulise osalusega eraisikust omanike lähedased pereliikmed ning nende valitseva või olulise mõju all olevad ettevõtjad</v>
      </c>
      <c r="B123" s="24">
        <f t="shared" si="6"/>
        <v>0</v>
      </c>
      <c r="C123" s="24">
        <f t="shared" si="6"/>
        <v>0</v>
      </c>
      <c r="D123" s="25">
        <f t="shared" si="6"/>
        <v>0</v>
      </c>
      <c r="E123" s="26">
        <f t="shared" si="6"/>
        <v>0</v>
      </c>
      <c r="F123" s="24">
        <f t="shared" si="6"/>
        <v>0</v>
      </c>
      <c r="G123" s="24">
        <f t="shared" si="6"/>
        <v>0</v>
      </c>
    </row>
    <row r="124" spans="1:9" ht="17" customHeight="1" outlineLevel="1">
      <c r="A124" s="12" t="str">
        <f>data!$A$9</f>
        <v>Muu seotud osapool</v>
      </c>
      <c r="B124" s="24">
        <f t="shared" si="6"/>
        <v>0</v>
      </c>
      <c r="C124" s="24">
        <f t="shared" si="6"/>
        <v>0</v>
      </c>
      <c r="D124" s="25">
        <f t="shared" si="6"/>
        <v>0</v>
      </c>
      <c r="E124" s="26">
        <f t="shared" si="6"/>
        <v>0</v>
      </c>
      <c r="F124" s="24">
        <f t="shared" si="6"/>
        <v>0</v>
      </c>
      <c r="G124" s="24">
        <f t="shared" si="6"/>
        <v>0</v>
      </c>
    </row>
    <row r="125" spans="1:9" outlineLevel="1">
      <c r="B125" s="6">
        <f t="shared" ref="B125:G125" si="7">SUM(B117:B124)</f>
        <v>0</v>
      </c>
      <c r="C125" s="6">
        <f t="shared" si="7"/>
        <v>0</v>
      </c>
      <c r="D125" s="6">
        <f t="shared" si="7"/>
        <v>0</v>
      </c>
      <c r="E125" s="6">
        <f t="shared" si="7"/>
        <v>0</v>
      </c>
      <c r="F125" s="6">
        <f t="shared" si="7"/>
        <v>0</v>
      </c>
      <c r="G125" s="6">
        <f t="shared" si="7"/>
        <v>0</v>
      </c>
    </row>
    <row r="126" spans="1:9" outlineLevel="1"/>
    <row r="127" spans="1:9" outlineLevel="1"/>
    <row r="128" spans="1:9" ht="19" customHeight="1" outlineLevel="1">
      <c r="B128" s="158" t="str">
        <f>'2.2'!C5</f>
        <v>LAENUNÕUDED</v>
      </c>
      <c r="C128" s="142"/>
      <c r="D128" s="142"/>
      <c r="E128" s="149"/>
      <c r="F128" s="144" t="str">
        <f>'2.2'!G5</f>
        <v>LAENUKOHUSTISED (saadud laenud)</v>
      </c>
      <c r="G128" s="142"/>
      <c r="H128" s="142"/>
      <c r="I128" s="143"/>
    </row>
    <row r="129" spans="1:9" ht="76" customHeight="1" outlineLevel="1">
      <c r="B129" s="7" t="str">
        <f>'2.2'!C6</f>
        <v>Antud laenud</v>
      </c>
      <c r="C129" s="7" t="str">
        <f>'2.2'!D6</f>
        <v>Antud laenude tagasimaksed</v>
      </c>
      <c r="D129" s="38">
        <f>_xlfn.XLOOKUP("projects__annual_report_end",var!$A:$A,var!$C:$C)</f>
        <v>45291</v>
      </c>
      <c r="E129" s="58" t="str">
        <f>'2.2'!F6</f>
        <v>Perioodi arvestatud intressid</v>
      </c>
      <c r="F129" s="17" t="str">
        <f>'2.2'!G6</f>
        <v>Saadud laenud</v>
      </c>
      <c r="G129" s="50" t="str">
        <f>'2.2'!H6</f>
        <v>Saadud laenude tagasimaksed</v>
      </c>
      <c r="H129" s="39">
        <f>_xlfn.XLOOKUP("projects__annual_report_end",var!$A:$A,var!$C:$C)</f>
        <v>45291</v>
      </c>
      <c r="I129" s="50" t="str">
        <f>'2.2'!J6</f>
        <v>Perioodi arvestatud intressid</v>
      </c>
    </row>
    <row r="130" spans="1:9" ht="17" customHeight="1" outlineLevel="1">
      <c r="A130" s="12" t="str">
        <f>data!$A$2</f>
        <v>Emaettevõtja</v>
      </c>
      <c r="B130" s="24">
        <f t="shared" ref="B130:I137" si="8">B75-B20</f>
        <v>0</v>
      </c>
      <c r="C130" s="24">
        <f t="shared" si="8"/>
        <v>0</v>
      </c>
      <c r="D130" s="25">
        <f t="shared" si="8"/>
        <v>0</v>
      </c>
      <c r="E130" s="25">
        <f t="shared" si="8"/>
        <v>0</v>
      </c>
      <c r="F130" s="26">
        <f t="shared" si="8"/>
        <v>0</v>
      </c>
      <c r="G130" s="24">
        <f t="shared" si="8"/>
        <v>0</v>
      </c>
      <c r="H130" s="24">
        <f t="shared" si="8"/>
        <v>0</v>
      </c>
      <c r="I130" s="24">
        <f t="shared" si="8"/>
        <v>0</v>
      </c>
    </row>
    <row r="131" spans="1:9" ht="17" customHeight="1" outlineLevel="1">
      <c r="A131" s="12" t="str">
        <f>data!$A$3</f>
        <v>Tütarettevõtjad</v>
      </c>
      <c r="B131" s="24">
        <f t="shared" si="8"/>
        <v>0</v>
      </c>
      <c r="C131" s="24">
        <f t="shared" si="8"/>
        <v>0</v>
      </c>
      <c r="D131" s="25">
        <f t="shared" si="8"/>
        <v>0</v>
      </c>
      <c r="E131" s="25">
        <f t="shared" si="8"/>
        <v>0</v>
      </c>
      <c r="F131" s="26">
        <f t="shared" si="8"/>
        <v>0</v>
      </c>
      <c r="G131" s="24">
        <f t="shared" si="8"/>
        <v>0</v>
      </c>
      <c r="H131" s="24">
        <f t="shared" si="8"/>
        <v>0</v>
      </c>
      <c r="I131" s="24">
        <f t="shared" si="8"/>
        <v>0</v>
      </c>
    </row>
    <row r="132" spans="1:9" ht="17" customHeight="1" outlineLevel="1">
      <c r="A132" s="12" t="str">
        <f>data!$A$4</f>
        <v>Sidusettevõtjad</v>
      </c>
      <c r="B132" s="24">
        <f t="shared" si="8"/>
        <v>0</v>
      </c>
      <c r="C132" s="24">
        <f t="shared" si="8"/>
        <v>0</v>
      </c>
      <c r="D132" s="25">
        <f t="shared" si="8"/>
        <v>0</v>
      </c>
      <c r="E132" s="25">
        <f t="shared" si="8"/>
        <v>0</v>
      </c>
      <c r="F132" s="26">
        <f t="shared" si="8"/>
        <v>0</v>
      </c>
      <c r="G132" s="24">
        <f t="shared" si="8"/>
        <v>0</v>
      </c>
      <c r="H132" s="24">
        <f t="shared" si="8"/>
        <v>0</v>
      </c>
      <c r="I132" s="24">
        <f t="shared" si="8"/>
        <v>0</v>
      </c>
    </row>
    <row r="133" spans="1:9" ht="19" customHeight="1" outlineLevel="1">
      <c r="A133" s="12" t="str">
        <f>data!$A$5</f>
        <v>Teised samasse konsolideerimisgruppi kuuluvad ettevõtjad</v>
      </c>
      <c r="B133" s="24">
        <f t="shared" si="8"/>
        <v>0</v>
      </c>
      <c r="C133" s="24">
        <f t="shared" si="8"/>
        <v>0</v>
      </c>
      <c r="D133" s="25">
        <f t="shared" si="8"/>
        <v>0</v>
      </c>
      <c r="E133" s="25">
        <f t="shared" si="8"/>
        <v>0</v>
      </c>
      <c r="F133" s="26">
        <f t="shared" si="8"/>
        <v>0</v>
      </c>
      <c r="G133" s="24">
        <f t="shared" si="8"/>
        <v>0</v>
      </c>
      <c r="H133" s="24">
        <f t="shared" si="8"/>
        <v>0</v>
      </c>
      <c r="I133" s="24">
        <f t="shared" si="8"/>
        <v>0</v>
      </c>
    </row>
    <row r="134" spans="1:9" ht="34" customHeight="1" outlineLevel="1">
      <c r="A134" s="12" t="str">
        <f>data!$A$6</f>
        <v>Tegev- ja kõrgem juhtkond ning olulise osalusega eraisikutest omanikud ning nende valitseva või olulise mõju all olevad ettevõtjad</v>
      </c>
      <c r="B134" s="24">
        <f t="shared" si="8"/>
        <v>0</v>
      </c>
      <c r="C134" s="24">
        <f t="shared" si="8"/>
        <v>0</v>
      </c>
      <c r="D134" s="25">
        <f t="shared" si="8"/>
        <v>0</v>
      </c>
      <c r="E134" s="25">
        <f t="shared" si="8"/>
        <v>0</v>
      </c>
      <c r="F134" s="26">
        <f t="shared" si="8"/>
        <v>0</v>
      </c>
      <c r="G134" s="24">
        <f t="shared" si="8"/>
        <v>0</v>
      </c>
      <c r="H134" s="24">
        <f t="shared" si="8"/>
        <v>0</v>
      </c>
      <c r="I134" s="24">
        <f t="shared" si="8"/>
        <v>0</v>
      </c>
    </row>
    <row r="135" spans="1:9" ht="34" customHeight="1" outlineLevel="1">
      <c r="A135" s="12" t="str">
        <f>data!$A$7</f>
        <v>Olulise osalusega juriidilisest isikust omanikud ning nende valitseva või olulise mõju all olevad ettevõtjad</v>
      </c>
      <c r="B135" s="24">
        <f t="shared" si="8"/>
        <v>0</v>
      </c>
      <c r="C135" s="24">
        <f t="shared" si="8"/>
        <v>0</v>
      </c>
      <c r="D135" s="25">
        <f t="shared" si="8"/>
        <v>0</v>
      </c>
      <c r="E135" s="25">
        <f t="shared" si="8"/>
        <v>0</v>
      </c>
      <c r="F135" s="26">
        <f t="shared" si="8"/>
        <v>0</v>
      </c>
      <c r="G135" s="24">
        <f t="shared" si="8"/>
        <v>0</v>
      </c>
      <c r="H135" s="24">
        <f t="shared" si="8"/>
        <v>0</v>
      </c>
      <c r="I135" s="24">
        <f t="shared" si="8"/>
        <v>0</v>
      </c>
    </row>
    <row r="136" spans="1:9" ht="40" customHeight="1" outlineLevel="1">
      <c r="A136" s="12" t="str">
        <f>data!$A$8</f>
        <v>Tegev- ja kõrgema juhtkonna ning olulise osalusega eraisikust omanike lähedased pereliikmed ning nende valitseva või olulise mõju all olevad ettevõtjad</v>
      </c>
      <c r="B136" s="24">
        <f t="shared" si="8"/>
        <v>0</v>
      </c>
      <c r="C136" s="24">
        <f t="shared" si="8"/>
        <v>0</v>
      </c>
      <c r="D136" s="25">
        <f t="shared" si="8"/>
        <v>0</v>
      </c>
      <c r="E136" s="25">
        <f t="shared" si="8"/>
        <v>0</v>
      </c>
      <c r="F136" s="26">
        <f t="shared" si="8"/>
        <v>0</v>
      </c>
      <c r="G136" s="24">
        <f t="shared" si="8"/>
        <v>0</v>
      </c>
      <c r="H136" s="24">
        <f t="shared" si="8"/>
        <v>0</v>
      </c>
      <c r="I136" s="24">
        <f t="shared" si="8"/>
        <v>0</v>
      </c>
    </row>
    <row r="137" spans="1:9" ht="17" customHeight="1" outlineLevel="1">
      <c r="A137" s="12" t="str">
        <f>data!$A$9</f>
        <v>Muu seotud osapool</v>
      </c>
      <c r="B137" s="24">
        <f t="shared" si="8"/>
        <v>0</v>
      </c>
      <c r="C137" s="24">
        <f t="shared" si="8"/>
        <v>0</v>
      </c>
      <c r="D137" s="25">
        <f t="shared" si="8"/>
        <v>0</v>
      </c>
      <c r="E137" s="25">
        <f t="shared" si="8"/>
        <v>0</v>
      </c>
      <c r="F137" s="26">
        <f t="shared" si="8"/>
        <v>0</v>
      </c>
      <c r="G137" s="24">
        <f t="shared" si="8"/>
        <v>0</v>
      </c>
      <c r="H137" s="24">
        <f t="shared" si="8"/>
        <v>0</v>
      </c>
      <c r="I137" s="24">
        <f t="shared" si="8"/>
        <v>0</v>
      </c>
    </row>
    <row r="138" spans="1:9" outlineLevel="1">
      <c r="B138" s="2">
        <f t="shared" ref="B138:I138" si="9">SUM(B130:B137)</f>
        <v>0</v>
      </c>
      <c r="C138" s="2">
        <f t="shared" si="9"/>
        <v>0</v>
      </c>
      <c r="D138" s="2">
        <f t="shared" si="9"/>
        <v>0</v>
      </c>
      <c r="E138" s="2">
        <f t="shared" si="9"/>
        <v>0</v>
      </c>
      <c r="F138" s="2">
        <f t="shared" si="9"/>
        <v>0</v>
      </c>
      <c r="G138" s="2">
        <f t="shared" si="9"/>
        <v>0</v>
      </c>
      <c r="H138" s="2">
        <f t="shared" si="9"/>
        <v>0</v>
      </c>
      <c r="I138" s="2">
        <f t="shared" si="9"/>
        <v>0</v>
      </c>
    </row>
    <row r="139" spans="1:9" outlineLevel="1"/>
    <row r="140" spans="1:9" outlineLevel="1"/>
    <row r="141" spans="1:9" ht="19" customHeight="1">
      <c r="B141" s="175" t="str">
        <f>'2.3'!C5</f>
        <v>MÜÜDUD</v>
      </c>
      <c r="C141" s="142"/>
      <c r="D141" s="142"/>
      <c r="E141" s="144" t="str">
        <f>'2.3'!F5</f>
        <v>OSTETUD</v>
      </c>
      <c r="F141" s="142"/>
      <c r="G141" s="143"/>
    </row>
    <row r="142" spans="1:9" ht="17" customHeight="1">
      <c r="B142" s="7" t="str">
        <f>'2.3'!C6</f>
        <v>Kaubad</v>
      </c>
      <c r="C142" s="7" t="str">
        <f>'2.3'!D6</f>
        <v>Teenused</v>
      </c>
      <c r="D142" s="13" t="str">
        <f>'2.3'!E6</f>
        <v>Põhivarad</v>
      </c>
      <c r="E142" s="17" t="str">
        <f>B142</f>
        <v>Kaubad</v>
      </c>
      <c r="F142" s="7" t="str">
        <f>C142</f>
        <v>Teenused</v>
      </c>
      <c r="G142" s="7" t="str">
        <f>F142</f>
        <v>Teenused</v>
      </c>
    </row>
    <row r="143" spans="1:9" ht="17" customHeight="1">
      <c r="A143" s="12" t="str">
        <f>data!$A$2</f>
        <v>Emaettevõtja</v>
      </c>
      <c r="B143" s="24">
        <f t="shared" ref="B143:G150" si="10">B88-B33</f>
        <v>0</v>
      </c>
      <c r="C143" s="24">
        <f t="shared" si="10"/>
        <v>0</v>
      </c>
      <c r="D143" s="25">
        <f t="shared" si="10"/>
        <v>0</v>
      </c>
      <c r="E143" s="26">
        <f t="shared" si="10"/>
        <v>0</v>
      </c>
      <c r="F143" s="24">
        <f t="shared" si="10"/>
        <v>0</v>
      </c>
      <c r="G143" s="24">
        <f t="shared" si="10"/>
        <v>0</v>
      </c>
    </row>
    <row r="144" spans="1:9" ht="17" customHeight="1">
      <c r="A144" s="12" t="str">
        <f>data!$A$3</f>
        <v>Tütarettevõtjad</v>
      </c>
      <c r="B144" s="24">
        <f t="shared" si="10"/>
        <v>0</v>
      </c>
      <c r="C144" s="24">
        <f t="shared" si="10"/>
        <v>0</v>
      </c>
      <c r="D144" s="25">
        <f t="shared" si="10"/>
        <v>0</v>
      </c>
      <c r="E144" s="26">
        <f t="shared" si="10"/>
        <v>0</v>
      </c>
      <c r="F144" s="24">
        <f t="shared" si="10"/>
        <v>0</v>
      </c>
      <c r="G144" s="24">
        <f t="shared" si="10"/>
        <v>0</v>
      </c>
    </row>
    <row r="145" spans="1:7" ht="17" customHeight="1">
      <c r="A145" s="12" t="str">
        <f>data!$A$4</f>
        <v>Sidusettevõtjad</v>
      </c>
      <c r="B145" s="24">
        <f t="shared" si="10"/>
        <v>0</v>
      </c>
      <c r="C145" s="24">
        <f t="shared" si="10"/>
        <v>0</v>
      </c>
      <c r="D145" s="25">
        <f t="shared" si="10"/>
        <v>0</v>
      </c>
      <c r="E145" s="26">
        <f t="shared" si="10"/>
        <v>0</v>
      </c>
      <c r="F145" s="24">
        <f t="shared" si="10"/>
        <v>0</v>
      </c>
      <c r="G145" s="24">
        <f t="shared" si="10"/>
        <v>0</v>
      </c>
    </row>
    <row r="146" spans="1:7" ht="19" customHeight="1">
      <c r="A146" s="12" t="str">
        <f>data!$A$5</f>
        <v>Teised samasse konsolideerimisgruppi kuuluvad ettevõtjad</v>
      </c>
      <c r="B146" s="24">
        <f t="shared" si="10"/>
        <v>0</v>
      </c>
      <c r="C146" s="24">
        <f t="shared" si="10"/>
        <v>0</v>
      </c>
      <c r="D146" s="25">
        <f t="shared" si="10"/>
        <v>0</v>
      </c>
      <c r="E146" s="26">
        <f t="shared" si="10"/>
        <v>0</v>
      </c>
      <c r="F146" s="24">
        <f t="shared" si="10"/>
        <v>0</v>
      </c>
      <c r="G146" s="24">
        <f t="shared" si="10"/>
        <v>0</v>
      </c>
    </row>
    <row r="147" spans="1:7" ht="51" customHeight="1">
      <c r="A147" s="12" t="str">
        <f>data!$A$6</f>
        <v>Tegev- ja kõrgem juhtkond ning olulise osalusega eraisikutest omanikud ning nende valitseva või olulise mõju all olevad ettevõtjad</v>
      </c>
      <c r="B147" s="24">
        <f t="shared" si="10"/>
        <v>0</v>
      </c>
      <c r="C147" s="24">
        <f t="shared" si="10"/>
        <v>0</v>
      </c>
      <c r="D147" s="25">
        <f t="shared" si="10"/>
        <v>0</v>
      </c>
      <c r="E147" s="26">
        <f t="shared" si="10"/>
        <v>0</v>
      </c>
      <c r="F147" s="24">
        <f t="shared" si="10"/>
        <v>0</v>
      </c>
      <c r="G147" s="24">
        <f t="shared" si="10"/>
        <v>0</v>
      </c>
    </row>
    <row r="148" spans="1:7" ht="34" customHeight="1">
      <c r="A148" s="12" t="str">
        <f>data!$A$7</f>
        <v>Olulise osalusega juriidilisest isikust omanikud ning nende valitseva või olulise mõju all olevad ettevõtjad</v>
      </c>
      <c r="B148" s="24">
        <f t="shared" si="10"/>
        <v>0</v>
      </c>
      <c r="C148" s="24">
        <f t="shared" si="10"/>
        <v>0</v>
      </c>
      <c r="D148" s="25">
        <f t="shared" si="10"/>
        <v>0</v>
      </c>
      <c r="E148" s="26">
        <f t="shared" si="10"/>
        <v>0</v>
      </c>
      <c r="F148" s="24">
        <f t="shared" si="10"/>
        <v>0</v>
      </c>
      <c r="G148" s="24">
        <f t="shared" si="10"/>
        <v>0</v>
      </c>
    </row>
    <row r="149" spans="1:7" ht="40" customHeight="1">
      <c r="A149" s="12" t="str">
        <f>data!$A$8</f>
        <v>Tegev- ja kõrgema juhtkonna ning olulise osalusega eraisikust omanike lähedased pereliikmed ning nende valitseva või olulise mõju all olevad ettevõtjad</v>
      </c>
      <c r="B149" s="24">
        <f t="shared" si="10"/>
        <v>0</v>
      </c>
      <c r="C149" s="24">
        <f t="shared" si="10"/>
        <v>0</v>
      </c>
      <c r="D149" s="25">
        <f t="shared" si="10"/>
        <v>0</v>
      </c>
      <c r="E149" s="26">
        <f t="shared" si="10"/>
        <v>0</v>
      </c>
      <c r="F149" s="24">
        <f t="shared" si="10"/>
        <v>0</v>
      </c>
      <c r="G149" s="24">
        <f t="shared" si="10"/>
        <v>0</v>
      </c>
    </row>
    <row r="150" spans="1:7" ht="17" customHeight="1">
      <c r="A150" s="12" t="str">
        <f>data!$A$9</f>
        <v>Muu seotud osapool</v>
      </c>
      <c r="B150" s="24">
        <f t="shared" si="10"/>
        <v>0</v>
      </c>
      <c r="C150" s="24">
        <f t="shared" si="10"/>
        <v>0</v>
      </c>
      <c r="D150" s="25">
        <f t="shared" si="10"/>
        <v>0</v>
      </c>
      <c r="E150" s="26">
        <f t="shared" si="10"/>
        <v>0</v>
      </c>
      <c r="F150" s="24">
        <f t="shared" si="10"/>
        <v>0</v>
      </c>
      <c r="G150" s="24">
        <f t="shared" si="10"/>
        <v>0</v>
      </c>
    </row>
    <row r="151" spans="1:7">
      <c r="B151" s="2">
        <f t="shared" ref="B151:G151" si="11">SUM(B143:B150)</f>
        <v>0</v>
      </c>
      <c r="C151" s="2">
        <f t="shared" si="11"/>
        <v>0</v>
      </c>
      <c r="D151" s="2">
        <f t="shared" si="11"/>
        <v>0</v>
      </c>
      <c r="E151" s="2">
        <f t="shared" si="11"/>
        <v>0</v>
      </c>
      <c r="F151" s="2">
        <f t="shared" si="11"/>
        <v>0</v>
      </c>
      <c r="G151" s="2">
        <f t="shared" si="11"/>
        <v>0</v>
      </c>
    </row>
    <row r="154" spans="1:7" ht="37" customHeight="1">
      <c r="B154" s="56" t="str">
        <f>'2.4'!C6</f>
        <v>ANTUD GARANTIID/TAGATISED</v>
      </c>
      <c r="C154" s="57" t="str">
        <f>'2.4'!D6</f>
        <v>SAADUD GARANTIID/TAGATISED</v>
      </c>
    </row>
    <row r="155" spans="1:7" ht="17" customHeight="1">
      <c r="A155" s="12" t="str">
        <f>data!$A$2</f>
        <v>Emaettevõtja</v>
      </c>
      <c r="B155" s="25">
        <f t="shared" ref="B155:C162" si="12">B100-B45</f>
        <v>0</v>
      </c>
      <c r="C155" s="26">
        <f t="shared" si="12"/>
        <v>0</v>
      </c>
    </row>
    <row r="156" spans="1:7" ht="17" customHeight="1">
      <c r="A156" s="12" t="str">
        <f>data!$A$3</f>
        <v>Tütarettevõtjad</v>
      </c>
      <c r="B156" s="25">
        <f t="shared" si="12"/>
        <v>0</v>
      </c>
      <c r="C156" s="26">
        <f t="shared" si="12"/>
        <v>0</v>
      </c>
    </row>
    <row r="157" spans="1:7" ht="17" customHeight="1">
      <c r="A157" s="12" t="str">
        <f>data!$A$4</f>
        <v>Sidusettevõtjad</v>
      </c>
      <c r="B157" s="25">
        <f t="shared" si="12"/>
        <v>0</v>
      </c>
      <c r="C157" s="26">
        <f t="shared" si="12"/>
        <v>0</v>
      </c>
    </row>
    <row r="158" spans="1:7" ht="19" customHeight="1">
      <c r="A158" s="12" t="str">
        <f>data!$A$5</f>
        <v>Teised samasse konsolideerimisgruppi kuuluvad ettevõtjad</v>
      </c>
      <c r="B158" s="25">
        <f t="shared" si="12"/>
        <v>0</v>
      </c>
      <c r="C158" s="26">
        <f t="shared" si="12"/>
        <v>0</v>
      </c>
    </row>
    <row r="159" spans="1:7" ht="51" customHeight="1">
      <c r="A159" s="12" t="str">
        <f>data!$A$6</f>
        <v>Tegev- ja kõrgem juhtkond ning olulise osalusega eraisikutest omanikud ning nende valitseva või olulise mõju all olevad ettevõtjad</v>
      </c>
      <c r="B159" s="25">
        <f t="shared" si="12"/>
        <v>0</v>
      </c>
      <c r="C159" s="26">
        <f t="shared" si="12"/>
        <v>0</v>
      </c>
    </row>
    <row r="160" spans="1:7" ht="34" customHeight="1">
      <c r="A160" s="12" t="str">
        <f>data!$A$7</f>
        <v>Olulise osalusega juriidilisest isikust omanikud ning nende valitseva või olulise mõju all olevad ettevõtjad</v>
      </c>
      <c r="B160" s="25">
        <f t="shared" si="12"/>
        <v>0</v>
      </c>
      <c r="C160" s="26">
        <f t="shared" si="12"/>
        <v>0</v>
      </c>
    </row>
    <row r="161" spans="1:3" ht="40" customHeight="1">
      <c r="A161" s="12" t="str">
        <f>data!$A$8</f>
        <v>Tegev- ja kõrgema juhtkonna ning olulise osalusega eraisikust omanike lähedased pereliikmed ning nende valitseva või olulise mõju all olevad ettevõtjad</v>
      </c>
      <c r="B161" s="25">
        <f t="shared" si="12"/>
        <v>0</v>
      </c>
      <c r="C161" s="26">
        <f t="shared" si="12"/>
        <v>0</v>
      </c>
    </row>
    <row r="162" spans="1:3" ht="17" customHeight="1">
      <c r="A162" s="12" t="str">
        <f>data!$A$9</f>
        <v>Muu seotud osapool</v>
      </c>
      <c r="B162" s="25">
        <f t="shared" si="12"/>
        <v>0</v>
      </c>
      <c r="C162" s="26">
        <f t="shared" si="12"/>
        <v>0</v>
      </c>
    </row>
    <row r="163" spans="1:3">
      <c r="B163" s="2">
        <f>SUM(B155:B162)</f>
        <v>0</v>
      </c>
      <c r="C163" s="2">
        <f>SUM(C155:C162)</f>
        <v>0</v>
      </c>
    </row>
  </sheetData>
  <sheetProtection sheet="1" formatRows="0" selectLockedCells="1"/>
  <mergeCells count="21">
    <mergeCell ref="B141:D141"/>
    <mergeCell ref="E141:G141"/>
    <mergeCell ref="E86:G86"/>
    <mergeCell ref="B115:D115"/>
    <mergeCell ref="E115:G115"/>
    <mergeCell ref="F128:I128"/>
    <mergeCell ref="B128:E128"/>
    <mergeCell ref="A2:H2"/>
    <mergeCell ref="A57:H57"/>
    <mergeCell ref="A112:H112"/>
    <mergeCell ref="B5:D5"/>
    <mergeCell ref="E5:G5"/>
    <mergeCell ref="B31:D31"/>
    <mergeCell ref="E31:G31"/>
    <mergeCell ref="B60:D60"/>
    <mergeCell ref="E60:G60"/>
    <mergeCell ref="B86:D86"/>
    <mergeCell ref="F73:I73"/>
    <mergeCell ref="B73:E73"/>
    <mergeCell ref="F18:I18"/>
    <mergeCell ref="B18:E18"/>
  </mergeCells>
  <conditionalFormatting sqref="B45:C52">
    <cfRule type="cellIs" dxfId="14" priority="25" operator="equal">
      <formula>0</formula>
    </cfRule>
  </conditionalFormatting>
  <conditionalFormatting sqref="B100:C107">
    <cfRule type="cellIs" dxfId="13" priority="24" operator="equal">
      <formula>0</formula>
    </cfRule>
  </conditionalFormatting>
  <conditionalFormatting sqref="B155:C162">
    <cfRule type="cellIs" dxfId="12" priority="1" operator="lessThan">
      <formula>-10</formula>
    </cfRule>
    <cfRule type="cellIs" dxfId="11" priority="2" operator="greaterThan">
      <formula>10</formula>
    </cfRule>
    <cfRule type="cellIs" dxfId="10" priority="3" operator="equal">
      <formula>0</formula>
    </cfRule>
  </conditionalFormatting>
  <conditionalFormatting sqref="B6:E6 B7:G14 B19:I27 B74:I82 B116:E116 B129:I137">
    <cfRule type="cellIs" dxfId="9" priority="37" operator="equal">
      <formula>0</formula>
    </cfRule>
  </conditionalFormatting>
  <conditionalFormatting sqref="B61:E61 B62:G69">
    <cfRule type="cellIs" dxfId="8" priority="30" operator="equal">
      <formula>0</formula>
    </cfRule>
  </conditionalFormatting>
  <conditionalFormatting sqref="B33:G40">
    <cfRule type="cellIs" dxfId="7" priority="29" operator="equal">
      <formula>0</formula>
    </cfRule>
  </conditionalFormatting>
  <conditionalFormatting sqref="B88:G95">
    <cfRule type="cellIs" dxfId="6" priority="22" operator="equal">
      <formula>0</formula>
    </cfRule>
  </conditionalFormatting>
  <conditionalFormatting sqref="B117:G124 B130:I137">
    <cfRule type="cellIs" dxfId="5" priority="20" operator="greaterThan">
      <formula>10</formula>
    </cfRule>
    <cfRule type="cellIs" dxfId="4" priority="19" operator="lessThan">
      <formula>-10</formula>
    </cfRule>
  </conditionalFormatting>
  <conditionalFormatting sqref="B117:G124">
    <cfRule type="cellIs" dxfId="3" priority="21" operator="equal">
      <formula>0</formula>
    </cfRule>
  </conditionalFormatting>
  <conditionalFormatting sqref="B143:G150">
    <cfRule type="cellIs" dxfId="2" priority="7" operator="lessThan">
      <formula>-10</formula>
    </cfRule>
    <cfRule type="cellIs" dxfId="1" priority="9" operator="equal">
      <formula>0</formula>
    </cfRule>
    <cfRule type="cellIs" dxfId="0" priority="8" operator="greaterThan">
      <formula>10</formula>
    </cfRule>
  </conditionalFormatting>
  <hyperlinks>
    <hyperlink ref="A2" location="'3'!A1" display="'3'!A1" xr:uid="{00000000-0004-0000-0800-000000000000}"/>
    <hyperlink ref="A57" location="'4'!A1" display="'4'!A1" xr:uid="{00000000-0004-0000-0800-000001000000}"/>
    <hyperlink ref="A113" location="'Juhend-Руководство-Instructions'!A1" display="'Juhend-Руководство-Instructions'!A1" xr:uid="{00000000-0004-0000-0800-000002000000}"/>
  </hyperlinks>
  <pageMargins left="0.7" right="0.7" top="0.75" bottom="0.75" header="0.3" footer="0.3"/>
  <pageSetup paperSize="9"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Juhend-Руководство-Instructions</vt:lpstr>
      <vt:lpstr>1</vt:lpstr>
      <vt:lpstr>2.1</vt:lpstr>
      <vt:lpstr>2.2</vt:lpstr>
      <vt:lpstr>2.3</vt:lpstr>
      <vt:lpstr>2.4</vt:lpstr>
      <vt:lpstr>3</vt:lpstr>
      <vt:lpstr>4</vt:lpstr>
      <vt:lpstr>5</vt:lpstr>
      <vt:lpstr>KEEL</vt:lpstr>
      <vt:lpstr>data</vt:lpstr>
      <vt:lpstr>var</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Sergei Tšistjakov</dc:creator>
  <cp:lastModifiedBy>Sergei Tsistjakov</cp:lastModifiedBy>
  <dcterms:created xsi:type="dcterms:W3CDTF">2019-10-01T09:57:12Z</dcterms:created>
  <dcterms:modified xsi:type="dcterms:W3CDTF">2024-04-09T13:30:59Z</dcterms:modified>
</cp:coreProperties>
</file>